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date1904="1" codeName="ThisWorkbook"/>
  <mc:AlternateContent xmlns:mc="http://schemas.openxmlformats.org/markup-compatibility/2006">
    <mc:Choice Requires="x15">
      <x15ac:absPath xmlns:x15ac="http://schemas.microsoft.com/office/spreadsheetml/2010/11/ac" url="/Users/markschmitz/Dropbox/Mark Schmitz/UPbR/"/>
    </mc:Choice>
  </mc:AlternateContent>
  <xr:revisionPtr revIDLastSave="0" documentId="13_ncr:1_{44C83768-F713-4B45-97DC-665D7F8316F1}" xr6:coauthVersionLast="47" xr6:coauthVersionMax="47" xr10:uidLastSave="{00000000-0000-0000-0000-000000000000}"/>
  <bookViews>
    <workbookView xWindow="0" yWindow="460" windowWidth="38400" windowHeight="20120" tabRatio="665" xr2:uid="{00000000-000D-0000-FFFF-FFFF00000000}"/>
  </bookViews>
  <sheets>
    <sheet name="Raw Data Input" sheetId="4" r:id="rId1"/>
    <sheet name="Data Reduction Engine" sheetId="1" r:id="rId2"/>
    <sheet name="U-Pb Data Table Output" sheetId="26" r:id="rId3"/>
    <sheet name="Variance" sheetId="27" r:id="rId4"/>
  </sheets>
  <definedNames>
    <definedName name="_gXY1">#REF!</definedName>
    <definedName name="ConcAgeTik1">#REF!</definedName>
    <definedName name="ConcAgeTik2">#REF!</definedName>
    <definedName name="ConcAgeTik3">#REF!</definedName>
    <definedName name="ConcAgeTik4">#REF!</definedName>
    <definedName name="ConcAgeTik5" localSheetId="2">#REF!</definedName>
    <definedName name="ConcAgeTik5">#REF!</definedName>
    <definedName name="ConcAgeTik6" localSheetId="2">#REF!</definedName>
    <definedName name="ConcAgeTik6">#REF!</definedName>
    <definedName name="ConcAgeTik7" localSheetId="2">#REF!</definedName>
    <definedName name="ConcAgeTik7">#REF!</definedName>
    <definedName name="ConcAgeTik8" localSheetId="2">#REF!</definedName>
    <definedName name="ConcAgeTik8">#REF!</definedName>
    <definedName name="ConcAgeTik9">#REF!</definedName>
    <definedName name="ConcAgeTikAge1">#REF!</definedName>
    <definedName name="ConcAgeTikAge2">#REF!</definedName>
    <definedName name="ConcAgeTikAge3">#REF!</definedName>
    <definedName name="ConcAgeTikAge4">#REF!</definedName>
    <definedName name="ConcAgeTikAge5">#REF!</definedName>
    <definedName name="ConcAgeTikAge6">#REF!</definedName>
    <definedName name="ConcAgeTikAge7">#REF!</definedName>
    <definedName name="ConcAgeTikAge8">#REF!</definedName>
    <definedName name="Ellipse1_1">#REF!</definedName>
    <definedName name="Ellipse1_10">#REF!</definedName>
    <definedName name="Ellipse1_11">#REF!</definedName>
    <definedName name="Ellipse1_17">#REF!</definedName>
    <definedName name="Ellipse1_18">#REF!</definedName>
    <definedName name="Ellipse1_19">#REF!</definedName>
    <definedName name="Ellipse1_2">#REF!</definedName>
    <definedName name="Ellipse1_20">#REF!</definedName>
    <definedName name="Ellipse1_21">#REF!</definedName>
    <definedName name="Ellipse1_22">#REF!</definedName>
    <definedName name="Ellipse1_23">#REF!</definedName>
    <definedName name="Ellipse1_24">#REF!</definedName>
    <definedName name="Ellipse1_25">#REF!</definedName>
    <definedName name="Ellipse1_26">#REF!</definedName>
    <definedName name="Ellipse1_27">#REF!</definedName>
    <definedName name="Ellipse1_28">#REF!</definedName>
    <definedName name="Ellipse1_3">#REF!</definedName>
    <definedName name="Ellipse1_4">#REF!</definedName>
    <definedName name="Ellipse1_5">#REF!</definedName>
    <definedName name="Ellipse1_6">#REF!</definedName>
    <definedName name="Ellipse1_7" localSheetId="2">#REF!</definedName>
    <definedName name="Ellipse1_7">#REF!</definedName>
    <definedName name="Ellipse1_8">#REF!</definedName>
    <definedName name="Ellipse1_9">#REF!</definedName>
  </definedNames>
  <calcPr calcId="191029" calcOnSave="0" concurrentCalc="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F9" i="1" l="1"/>
  <c r="AF171" i="1"/>
  <c r="AE9" i="1"/>
  <c r="AE171" i="1"/>
  <c r="AD9" i="1"/>
  <c r="AD171" i="1"/>
  <c r="AC9" i="1"/>
  <c r="AC171" i="1"/>
  <c r="AB9" i="1"/>
  <c r="AB171" i="1"/>
  <c r="AA9" i="1"/>
  <c r="AA171" i="1"/>
  <c r="Z9" i="1"/>
  <c r="Z171" i="1"/>
  <c r="Y9" i="1"/>
  <c r="Y171" i="1"/>
  <c r="X9" i="1"/>
  <c r="X171" i="1"/>
  <c r="W9" i="1"/>
  <c r="W171" i="1"/>
  <c r="V9" i="1"/>
  <c r="V171" i="1"/>
  <c r="U9" i="1"/>
  <c r="U171" i="1"/>
  <c r="T9" i="1"/>
  <c r="T171" i="1"/>
  <c r="S9" i="1"/>
  <c r="S171" i="1"/>
  <c r="R9" i="1"/>
  <c r="R171" i="1"/>
  <c r="Q9" i="1"/>
  <c r="Q171" i="1"/>
  <c r="P9" i="1"/>
  <c r="P171" i="1"/>
  <c r="O9" i="1"/>
  <c r="O171" i="1"/>
  <c r="N9" i="1"/>
  <c r="N171" i="1"/>
  <c r="M9" i="1"/>
  <c r="M171" i="1"/>
  <c r="L9" i="1"/>
  <c r="L171" i="1"/>
  <c r="K9" i="1"/>
  <c r="K171" i="1"/>
  <c r="J9" i="1"/>
  <c r="J171" i="1"/>
  <c r="I9" i="1"/>
  <c r="I171" i="1"/>
  <c r="H9" i="1"/>
  <c r="H171" i="1"/>
  <c r="G9" i="1"/>
  <c r="G171" i="1"/>
  <c r="F9" i="1"/>
  <c r="F171" i="1"/>
  <c r="E9" i="1"/>
  <c r="E171" i="1"/>
  <c r="D9" i="1"/>
  <c r="D171" i="1"/>
  <c r="AF170" i="1"/>
  <c r="AE170" i="1"/>
  <c r="AD170" i="1"/>
  <c r="AC170" i="1"/>
  <c r="AB170" i="1"/>
  <c r="AA170" i="1"/>
  <c r="Z170" i="1"/>
  <c r="Y170" i="1"/>
  <c r="X170" i="1"/>
  <c r="W170" i="1"/>
  <c r="V170" i="1"/>
  <c r="U170" i="1"/>
  <c r="T170" i="1"/>
  <c r="S170" i="1"/>
  <c r="R170" i="1"/>
  <c r="Q170" i="1"/>
  <c r="P170" i="1"/>
  <c r="O170" i="1"/>
  <c r="N170" i="1"/>
  <c r="M170" i="1"/>
  <c r="L170" i="1"/>
  <c r="K170" i="1"/>
  <c r="J170" i="1"/>
  <c r="I170" i="1"/>
  <c r="H170" i="1"/>
  <c r="G170" i="1"/>
  <c r="F170" i="1"/>
  <c r="E170" i="1"/>
  <c r="D170" i="1"/>
  <c r="AF169" i="1"/>
  <c r="AE169" i="1"/>
  <c r="AD169" i="1"/>
  <c r="AC169" i="1"/>
  <c r="AB169" i="1"/>
  <c r="AA169" i="1"/>
  <c r="Z169" i="1"/>
  <c r="Y169" i="1"/>
  <c r="X169" i="1"/>
  <c r="W169" i="1"/>
  <c r="V169" i="1"/>
  <c r="U169" i="1"/>
  <c r="T169" i="1"/>
  <c r="S169" i="1"/>
  <c r="R169" i="1"/>
  <c r="Q169" i="1"/>
  <c r="P169" i="1"/>
  <c r="O169" i="1"/>
  <c r="N169" i="1"/>
  <c r="M169" i="1"/>
  <c r="L169" i="1"/>
  <c r="K169" i="1"/>
  <c r="J169" i="1"/>
  <c r="I169" i="1"/>
  <c r="H169" i="1"/>
  <c r="G169" i="1"/>
  <c r="F169" i="1"/>
  <c r="E169" i="1"/>
  <c r="D169" i="1"/>
  <c r="AF168" i="1"/>
  <c r="AE168" i="1"/>
  <c r="AD168" i="1"/>
  <c r="AC168" i="1"/>
  <c r="AB168" i="1"/>
  <c r="AA168" i="1"/>
  <c r="Z168" i="1"/>
  <c r="Y168" i="1"/>
  <c r="X168" i="1"/>
  <c r="W168" i="1"/>
  <c r="V168" i="1"/>
  <c r="U168" i="1"/>
  <c r="T168" i="1"/>
  <c r="S168" i="1"/>
  <c r="R168" i="1"/>
  <c r="Q168" i="1"/>
  <c r="P168" i="1"/>
  <c r="O168" i="1"/>
  <c r="N168" i="1"/>
  <c r="M168" i="1"/>
  <c r="L168" i="1"/>
  <c r="K168" i="1"/>
  <c r="J168" i="1"/>
  <c r="I168" i="1"/>
  <c r="H168" i="1"/>
  <c r="G168" i="1"/>
  <c r="F168" i="1"/>
  <c r="E168" i="1"/>
  <c r="D168" i="1"/>
  <c r="AF167" i="1"/>
  <c r="AE167" i="1"/>
  <c r="AD167" i="1"/>
  <c r="AC167" i="1"/>
  <c r="AB167" i="1"/>
  <c r="AA167" i="1"/>
  <c r="Z167" i="1"/>
  <c r="Y167" i="1"/>
  <c r="X167" i="1"/>
  <c r="W167" i="1"/>
  <c r="V167" i="1"/>
  <c r="U167" i="1"/>
  <c r="T167" i="1"/>
  <c r="S167" i="1"/>
  <c r="R167" i="1"/>
  <c r="Q167" i="1"/>
  <c r="P167" i="1"/>
  <c r="O167" i="1"/>
  <c r="N167" i="1"/>
  <c r="M167" i="1"/>
  <c r="L167" i="1"/>
  <c r="K167" i="1"/>
  <c r="J167" i="1"/>
  <c r="I167" i="1"/>
  <c r="H167" i="1"/>
  <c r="G167" i="1"/>
  <c r="F167" i="1"/>
  <c r="E167" i="1"/>
  <c r="D167" i="1"/>
  <c r="AF166" i="1"/>
  <c r="AE166" i="1"/>
  <c r="AD166" i="1"/>
  <c r="AC166" i="1"/>
  <c r="AB166" i="1"/>
  <c r="AA166" i="1"/>
  <c r="Z166" i="1"/>
  <c r="Y166" i="1"/>
  <c r="X166" i="1"/>
  <c r="W166" i="1"/>
  <c r="V166" i="1"/>
  <c r="U166" i="1"/>
  <c r="T166" i="1"/>
  <c r="S166" i="1"/>
  <c r="R166" i="1"/>
  <c r="Q166" i="1"/>
  <c r="P166" i="1"/>
  <c r="O166" i="1"/>
  <c r="N166" i="1"/>
  <c r="M166" i="1"/>
  <c r="L166" i="1"/>
  <c r="K166" i="1"/>
  <c r="J166" i="1"/>
  <c r="I166" i="1"/>
  <c r="H166" i="1"/>
  <c r="G166" i="1"/>
  <c r="F166" i="1"/>
  <c r="E166" i="1"/>
  <c r="D166" i="1"/>
  <c r="AF165" i="1"/>
  <c r="AE165" i="1"/>
  <c r="AD165" i="1"/>
  <c r="AC165" i="1"/>
  <c r="AB165" i="1"/>
  <c r="AA165" i="1"/>
  <c r="Z165" i="1"/>
  <c r="Y165" i="1"/>
  <c r="X165" i="1"/>
  <c r="W165" i="1"/>
  <c r="V165" i="1"/>
  <c r="U165" i="1"/>
  <c r="T165" i="1"/>
  <c r="S165" i="1"/>
  <c r="R165" i="1"/>
  <c r="Q165" i="1"/>
  <c r="P165" i="1"/>
  <c r="O165" i="1"/>
  <c r="N165" i="1"/>
  <c r="M165" i="1"/>
  <c r="L165" i="1"/>
  <c r="K165" i="1"/>
  <c r="J165" i="1"/>
  <c r="I165" i="1"/>
  <c r="H165" i="1"/>
  <c r="G165" i="1"/>
  <c r="F165" i="1"/>
  <c r="E165" i="1"/>
  <c r="D165" i="1"/>
  <c r="AS87" i="4"/>
  <c r="AF164" i="1"/>
  <c r="AE164" i="1"/>
  <c r="AD164" i="1"/>
  <c r="AC164" i="1"/>
  <c r="AB164" i="1"/>
  <c r="AA164" i="1"/>
  <c r="Z164" i="1"/>
  <c r="Y164" i="1"/>
  <c r="X164" i="1"/>
  <c r="W164" i="1"/>
  <c r="V164" i="1"/>
  <c r="U164" i="1"/>
  <c r="T164" i="1"/>
  <c r="S164" i="1"/>
  <c r="R164" i="1"/>
  <c r="Q164" i="1"/>
  <c r="P164" i="1"/>
  <c r="O164" i="1"/>
  <c r="N164" i="1"/>
  <c r="M164" i="1"/>
  <c r="L164" i="1"/>
  <c r="K164" i="1"/>
  <c r="J164" i="1"/>
  <c r="I164" i="1"/>
  <c r="H164" i="1"/>
  <c r="G164" i="1"/>
  <c r="F164" i="1"/>
  <c r="E164" i="1"/>
  <c r="D164" i="1"/>
  <c r="AF163" i="1"/>
  <c r="AE163" i="1"/>
  <c r="AD163" i="1"/>
  <c r="AC163" i="1"/>
  <c r="AB163" i="1"/>
  <c r="AA163" i="1"/>
  <c r="Z163" i="1"/>
  <c r="Y163" i="1"/>
  <c r="X163" i="1"/>
  <c r="W163" i="1"/>
  <c r="V163" i="1"/>
  <c r="U163" i="1"/>
  <c r="T163" i="1"/>
  <c r="S163" i="1"/>
  <c r="R163" i="1"/>
  <c r="Q163" i="1"/>
  <c r="P163" i="1"/>
  <c r="O163" i="1"/>
  <c r="N163" i="1"/>
  <c r="M163" i="1"/>
  <c r="L163" i="1"/>
  <c r="K163" i="1"/>
  <c r="J163" i="1"/>
  <c r="I163" i="1"/>
  <c r="H163" i="1"/>
  <c r="G163" i="1"/>
  <c r="F163" i="1"/>
  <c r="E163" i="1"/>
  <c r="D163" i="1"/>
  <c r="AS86" i="4"/>
  <c r="AF162" i="1"/>
  <c r="AE162" i="1"/>
  <c r="AD162" i="1"/>
  <c r="AC162" i="1"/>
  <c r="AB162" i="1"/>
  <c r="AA162" i="1"/>
  <c r="Z162" i="1"/>
  <c r="Y162" i="1"/>
  <c r="X162" i="1"/>
  <c r="W162" i="1"/>
  <c r="V162" i="1"/>
  <c r="U162" i="1"/>
  <c r="T162" i="1"/>
  <c r="S162" i="1"/>
  <c r="R162" i="1"/>
  <c r="Q162" i="1"/>
  <c r="P162" i="1"/>
  <c r="O162" i="1"/>
  <c r="N162" i="1"/>
  <c r="M162" i="1"/>
  <c r="L162" i="1"/>
  <c r="K162" i="1"/>
  <c r="J162" i="1"/>
  <c r="I162" i="1"/>
  <c r="H162" i="1"/>
  <c r="G162" i="1"/>
  <c r="F162" i="1"/>
  <c r="E162" i="1"/>
  <c r="D162" i="1"/>
  <c r="AF161" i="1"/>
  <c r="AE161" i="1"/>
  <c r="AD161" i="1"/>
  <c r="AC161" i="1"/>
  <c r="AB161" i="1"/>
  <c r="AA161" i="1"/>
  <c r="Z161" i="1"/>
  <c r="Y161" i="1"/>
  <c r="X161" i="1"/>
  <c r="W161" i="1"/>
  <c r="V161" i="1"/>
  <c r="U161" i="1"/>
  <c r="T161" i="1"/>
  <c r="S161" i="1"/>
  <c r="R161" i="1"/>
  <c r="Q161" i="1"/>
  <c r="P161" i="1"/>
  <c r="O161" i="1"/>
  <c r="N161" i="1"/>
  <c r="M161" i="1"/>
  <c r="L161" i="1"/>
  <c r="K161" i="1"/>
  <c r="J161" i="1"/>
  <c r="I161" i="1"/>
  <c r="H161" i="1"/>
  <c r="G161" i="1"/>
  <c r="F161" i="1"/>
  <c r="E161" i="1"/>
  <c r="D161" i="1"/>
  <c r="AF160" i="1"/>
  <c r="AE160" i="1"/>
  <c r="AD160" i="1"/>
  <c r="AC160" i="1"/>
  <c r="AB160" i="1"/>
  <c r="AA160" i="1"/>
  <c r="Z160" i="1"/>
  <c r="Y160" i="1"/>
  <c r="X160" i="1"/>
  <c r="W160" i="1"/>
  <c r="V160" i="1"/>
  <c r="U160" i="1"/>
  <c r="T160" i="1"/>
  <c r="S160" i="1"/>
  <c r="R160" i="1"/>
  <c r="Q160" i="1"/>
  <c r="P160" i="1"/>
  <c r="O160" i="1"/>
  <c r="N160" i="1"/>
  <c r="M160" i="1"/>
  <c r="L160" i="1"/>
  <c r="K160" i="1"/>
  <c r="J160" i="1"/>
  <c r="I160" i="1"/>
  <c r="H160" i="1"/>
  <c r="G160" i="1"/>
  <c r="F160" i="1"/>
  <c r="E160" i="1"/>
  <c r="D160" i="1"/>
  <c r="AF159" i="1"/>
  <c r="AE159" i="1"/>
  <c r="AD159" i="1"/>
  <c r="AC159" i="1"/>
  <c r="AB159" i="1"/>
  <c r="AA159" i="1"/>
  <c r="Z159" i="1"/>
  <c r="Y159" i="1"/>
  <c r="X159" i="1"/>
  <c r="W159" i="1"/>
  <c r="V159" i="1"/>
  <c r="U159" i="1"/>
  <c r="T159" i="1"/>
  <c r="S159" i="1"/>
  <c r="R159" i="1"/>
  <c r="Q159" i="1"/>
  <c r="P159" i="1"/>
  <c r="O159" i="1"/>
  <c r="N159" i="1"/>
  <c r="M159" i="1"/>
  <c r="L159" i="1"/>
  <c r="K159" i="1"/>
  <c r="J159" i="1"/>
  <c r="I159" i="1"/>
  <c r="H159" i="1"/>
  <c r="G159" i="1"/>
  <c r="F159" i="1"/>
  <c r="E159" i="1"/>
  <c r="D159" i="1"/>
  <c r="AF158" i="1"/>
  <c r="AE158" i="1"/>
  <c r="AD158" i="1"/>
  <c r="AC158" i="1"/>
  <c r="AB158" i="1"/>
  <c r="AA158" i="1"/>
  <c r="Z158" i="1"/>
  <c r="Y158" i="1"/>
  <c r="X158" i="1"/>
  <c r="W158" i="1"/>
  <c r="V158" i="1"/>
  <c r="U158" i="1"/>
  <c r="T158" i="1"/>
  <c r="S158" i="1"/>
  <c r="R158" i="1"/>
  <c r="Q158" i="1"/>
  <c r="P158" i="1"/>
  <c r="O158" i="1"/>
  <c r="N158" i="1"/>
  <c r="M158" i="1"/>
  <c r="L158" i="1"/>
  <c r="K158" i="1"/>
  <c r="J158" i="1"/>
  <c r="I158" i="1"/>
  <c r="H158" i="1"/>
  <c r="G158" i="1"/>
  <c r="F158" i="1"/>
  <c r="E158" i="1"/>
  <c r="D158" i="1"/>
  <c r="AF157" i="1"/>
  <c r="AE157" i="1"/>
  <c r="AD157" i="1"/>
  <c r="AC157" i="1"/>
  <c r="AB157" i="1"/>
  <c r="AA157" i="1"/>
  <c r="Z157" i="1"/>
  <c r="Y157" i="1"/>
  <c r="X157" i="1"/>
  <c r="W157" i="1"/>
  <c r="V157" i="1"/>
  <c r="U157" i="1"/>
  <c r="T157" i="1"/>
  <c r="S157" i="1"/>
  <c r="R157" i="1"/>
  <c r="Q157" i="1"/>
  <c r="P157" i="1"/>
  <c r="O157" i="1"/>
  <c r="N157" i="1"/>
  <c r="M157" i="1"/>
  <c r="L157" i="1"/>
  <c r="K157" i="1"/>
  <c r="J157" i="1"/>
  <c r="I157" i="1"/>
  <c r="H157" i="1"/>
  <c r="G157" i="1"/>
  <c r="F157" i="1"/>
  <c r="E157" i="1"/>
  <c r="D157" i="1"/>
  <c r="AF156" i="1"/>
  <c r="AE156" i="1"/>
  <c r="AD156" i="1"/>
  <c r="AC156" i="1"/>
  <c r="AB156" i="1"/>
  <c r="AA156" i="1"/>
  <c r="Z156" i="1"/>
  <c r="Y156" i="1"/>
  <c r="X156" i="1"/>
  <c r="W156" i="1"/>
  <c r="V156" i="1"/>
  <c r="U156" i="1"/>
  <c r="T156" i="1"/>
  <c r="S156" i="1"/>
  <c r="R156" i="1"/>
  <c r="Q156" i="1"/>
  <c r="P156" i="1"/>
  <c r="O156" i="1"/>
  <c r="N156" i="1"/>
  <c r="M156" i="1"/>
  <c r="L156" i="1"/>
  <c r="K156" i="1"/>
  <c r="J156" i="1"/>
  <c r="I156" i="1"/>
  <c r="H156" i="1"/>
  <c r="G156" i="1"/>
  <c r="F156" i="1"/>
  <c r="E156" i="1"/>
  <c r="D156" i="1"/>
  <c r="AF155" i="1"/>
  <c r="AE155" i="1"/>
  <c r="AD155" i="1"/>
  <c r="AC155" i="1"/>
  <c r="AB155" i="1"/>
  <c r="AA155" i="1"/>
  <c r="Z155" i="1"/>
  <c r="Y155" i="1"/>
  <c r="X155" i="1"/>
  <c r="W155" i="1"/>
  <c r="V155" i="1"/>
  <c r="U155" i="1"/>
  <c r="T155" i="1"/>
  <c r="S155" i="1"/>
  <c r="R155" i="1"/>
  <c r="Q155" i="1"/>
  <c r="P155" i="1"/>
  <c r="O155" i="1"/>
  <c r="N155" i="1"/>
  <c r="M155" i="1"/>
  <c r="L155" i="1"/>
  <c r="K155" i="1"/>
  <c r="J155" i="1"/>
  <c r="I155" i="1"/>
  <c r="H155" i="1"/>
  <c r="G155" i="1"/>
  <c r="F155" i="1"/>
  <c r="E155" i="1"/>
  <c r="D155" i="1"/>
  <c r="AF154" i="1"/>
  <c r="AE154" i="1"/>
  <c r="AD154" i="1"/>
  <c r="AC154" i="1"/>
  <c r="AB154" i="1"/>
  <c r="AA154" i="1"/>
  <c r="Z154" i="1"/>
  <c r="Y154" i="1"/>
  <c r="X154" i="1"/>
  <c r="W154" i="1"/>
  <c r="V154" i="1"/>
  <c r="U154" i="1"/>
  <c r="T154" i="1"/>
  <c r="S154" i="1"/>
  <c r="R154" i="1"/>
  <c r="Q154" i="1"/>
  <c r="P154" i="1"/>
  <c r="O154" i="1"/>
  <c r="N154" i="1"/>
  <c r="M154" i="1"/>
  <c r="L154" i="1"/>
  <c r="K154" i="1"/>
  <c r="J154" i="1"/>
  <c r="I154" i="1"/>
  <c r="H154" i="1"/>
  <c r="G154" i="1"/>
  <c r="F154" i="1"/>
  <c r="E154" i="1"/>
  <c r="D154" i="1"/>
  <c r="AF153" i="1"/>
  <c r="AE153" i="1"/>
  <c r="AD153" i="1"/>
  <c r="AC153" i="1"/>
  <c r="AB153" i="1"/>
  <c r="AA153" i="1"/>
  <c r="Z153" i="1"/>
  <c r="Y153" i="1"/>
  <c r="X153" i="1"/>
  <c r="W153" i="1"/>
  <c r="V153" i="1"/>
  <c r="U153" i="1"/>
  <c r="T153" i="1"/>
  <c r="S153" i="1"/>
  <c r="R153" i="1"/>
  <c r="Q153" i="1"/>
  <c r="P153" i="1"/>
  <c r="O153" i="1"/>
  <c r="N153" i="1"/>
  <c r="M153" i="1"/>
  <c r="L153" i="1"/>
  <c r="K153" i="1"/>
  <c r="J153" i="1"/>
  <c r="I153" i="1"/>
  <c r="H153" i="1"/>
  <c r="G153" i="1"/>
  <c r="F153" i="1"/>
  <c r="E153" i="1"/>
  <c r="D153" i="1"/>
  <c r="AF152" i="1"/>
  <c r="AE152" i="1"/>
  <c r="AD152" i="1"/>
  <c r="AC152" i="1"/>
  <c r="AB152" i="1"/>
  <c r="AA152" i="1"/>
  <c r="Z152" i="1"/>
  <c r="Y152" i="1"/>
  <c r="X152" i="1"/>
  <c r="W152" i="1"/>
  <c r="V152" i="1"/>
  <c r="U152" i="1"/>
  <c r="T152" i="1"/>
  <c r="S152" i="1"/>
  <c r="R152" i="1"/>
  <c r="Q152" i="1"/>
  <c r="P152" i="1"/>
  <c r="O152" i="1"/>
  <c r="N152" i="1"/>
  <c r="M152" i="1"/>
  <c r="L152" i="1"/>
  <c r="K152" i="1"/>
  <c r="J152" i="1"/>
  <c r="I152" i="1"/>
  <c r="H152" i="1"/>
  <c r="G152" i="1"/>
  <c r="F152" i="1"/>
  <c r="E152" i="1"/>
  <c r="D152" i="1"/>
  <c r="AF151" i="1"/>
  <c r="AE151" i="1"/>
  <c r="AD151" i="1"/>
  <c r="AC151" i="1"/>
  <c r="AB151" i="1"/>
  <c r="AA151" i="1"/>
  <c r="Z151" i="1"/>
  <c r="Y151" i="1"/>
  <c r="X151" i="1"/>
  <c r="W151" i="1"/>
  <c r="V151" i="1"/>
  <c r="U151" i="1"/>
  <c r="T151" i="1"/>
  <c r="S151" i="1"/>
  <c r="R151" i="1"/>
  <c r="Q151" i="1"/>
  <c r="P151" i="1"/>
  <c r="O151" i="1"/>
  <c r="N151" i="1"/>
  <c r="M151" i="1"/>
  <c r="L151" i="1"/>
  <c r="K151" i="1"/>
  <c r="J151" i="1"/>
  <c r="I151" i="1"/>
  <c r="H151" i="1"/>
  <c r="G151" i="1"/>
  <c r="F151" i="1"/>
  <c r="E151" i="1"/>
  <c r="D151" i="1"/>
  <c r="AF150" i="1"/>
  <c r="AE150" i="1"/>
  <c r="AD150" i="1"/>
  <c r="AC150" i="1"/>
  <c r="AB150" i="1"/>
  <c r="AA150" i="1"/>
  <c r="Z150" i="1"/>
  <c r="Y150" i="1"/>
  <c r="X150" i="1"/>
  <c r="W150" i="1"/>
  <c r="V150" i="1"/>
  <c r="U150" i="1"/>
  <c r="T150" i="1"/>
  <c r="S150" i="1"/>
  <c r="R150" i="1"/>
  <c r="Q150" i="1"/>
  <c r="P150" i="1"/>
  <c r="O150" i="1"/>
  <c r="N150" i="1"/>
  <c r="M150" i="1"/>
  <c r="L150" i="1"/>
  <c r="K150" i="1"/>
  <c r="J150" i="1"/>
  <c r="I150" i="1"/>
  <c r="H150" i="1"/>
  <c r="G150" i="1"/>
  <c r="F150" i="1"/>
  <c r="E150" i="1"/>
  <c r="D150" i="1"/>
  <c r="C9" i="1"/>
  <c r="C171" i="1"/>
  <c r="C170" i="1"/>
  <c r="C169" i="1"/>
  <c r="C168" i="1"/>
  <c r="C167" i="1"/>
  <c r="C166" i="1"/>
  <c r="C165" i="1"/>
  <c r="C164" i="1"/>
  <c r="C163" i="1"/>
  <c r="C162" i="1"/>
  <c r="C161" i="1"/>
  <c r="C160" i="1"/>
  <c r="C159" i="1"/>
  <c r="C158" i="1"/>
  <c r="C157" i="1"/>
  <c r="C156" i="1"/>
  <c r="C155" i="1"/>
  <c r="C154" i="1"/>
  <c r="C153" i="1"/>
  <c r="C152" i="1"/>
  <c r="C151" i="1"/>
  <c r="C150" i="1"/>
  <c r="AF209" i="1"/>
  <c r="AE209" i="1"/>
  <c r="AD209" i="1"/>
  <c r="AC209" i="1"/>
  <c r="AB209" i="1"/>
  <c r="AA209" i="1"/>
  <c r="Z209" i="1"/>
  <c r="Y209" i="1"/>
  <c r="X209" i="1"/>
  <c r="W209" i="1"/>
  <c r="V209" i="1"/>
  <c r="U209" i="1"/>
  <c r="T209" i="1"/>
  <c r="S209" i="1"/>
  <c r="R209" i="1"/>
  <c r="Q209" i="1"/>
  <c r="P209" i="1"/>
  <c r="O209" i="1"/>
  <c r="N209" i="1"/>
  <c r="M209" i="1"/>
  <c r="L209" i="1"/>
  <c r="K209" i="1"/>
  <c r="J209" i="1"/>
  <c r="I209" i="1"/>
  <c r="H209" i="1"/>
  <c r="G209" i="1"/>
  <c r="F209" i="1"/>
  <c r="E209" i="1"/>
  <c r="D209" i="1"/>
  <c r="C209" i="1"/>
  <c r="AF196" i="1"/>
  <c r="AE196" i="1"/>
  <c r="AD196" i="1"/>
  <c r="AC196" i="1"/>
  <c r="AB196" i="1"/>
  <c r="AA196" i="1"/>
  <c r="Z196" i="1"/>
  <c r="Y196" i="1"/>
  <c r="X196" i="1"/>
  <c r="W196" i="1"/>
  <c r="V196" i="1"/>
  <c r="U196" i="1"/>
  <c r="T196" i="1"/>
  <c r="S196" i="1"/>
  <c r="R196" i="1"/>
  <c r="Q196" i="1"/>
  <c r="P196" i="1"/>
  <c r="O196" i="1"/>
  <c r="N196" i="1"/>
  <c r="M196" i="1"/>
  <c r="L196" i="1"/>
  <c r="K196" i="1"/>
  <c r="J196" i="1"/>
  <c r="I196" i="1"/>
  <c r="H196" i="1"/>
  <c r="G196" i="1"/>
  <c r="F196" i="1"/>
  <c r="E196" i="1"/>
  <c r="D196" i="1"/>
  <c r="C196" i="1"/>
  <c r="AF198" i="1"/>
  <c r="AF200" i="1"/>
  <c r="AF202" i="1"/>
  <c r="AF208" i="1"/>
  <c r="AE198" i="1"/>
  <c r="AE200" i="1"/>
  <c r="AE202" i="1"/>
  <c r="AE208" i="1"/>
  <c r="AD198" i="1"/>
  <c r="AD200" i="1"/>
  <c r="AD202" i="1"/>
  <c r="AD208" i="1"/>
  <c r="AC198" i="1"/>
  <c r="AC200" i="1"/>
  <c r="AC202" i="1"/>
  <c r="AC208" i="1"/>
  <c r="AB198" i="1"/>
  <c r="AB200" i="1"/>
  <c r="AB202" i="1"/>
  <c r="AB208" i="1"/>
  <c r="AA198" i="1"/>
  <c r="AA200" i="1"/>
  <c r="AA202" i="1"/>
  <c r="AA208" i="1"/>
  <c r="Z198" i="1"/>
  <c r="Z200" i="1"/>
  <c r="Z202" i="1"/>
  <c r="Z208" i="1"/>
  <c r="Y198" i="1"/>
  <c r="Y200" i="1"/>
  <c r="Y202" i="1"/>
  <c r="Y208" i="1"/>
  <c r="X198" i="1"/>
  <c r="X200" i="1"/>
  <c r="X202" i="1"/>
  <c r="X208" i="1"/>
  <c r="W198" i="1"/>
  <c r="W200" i="1"/>
  <c r="W202" i="1"/>
  <c r="W208" i="1"/>
  <c r="V198" i="1"/>
  <c r="V200" i="1"/>
  <c r="V202" i="1"/>
  <c r="V208" i="1"/>
  <c r="U198" i="1"/>
  <c r="U200" i="1"/>
  <c r="U202" i="1"/>
  <c r="U208" i="1"/>
  <c r="T198" i="1"/>
  <c r="T200" i="1"/>
  <c r="T202" i="1"/>
  <c r="T208" i="1"/>
  <c r="S198" i="1"/>
  <c r="S200" i="1"/>
  <c r="S202" i="1"/>
  <c r="S208" i="1"/>
  <c r="R198" i="1"/>
  <c r="R200" i="1"/>
  <c r="R202" i="1"/>
  <c r="R208" i="1"/>
  <c r="Q198" i="1"/>
  <c r="Q200" i="1"/>
  <c r="Q202" i="1"/>
  <c r="Q208" i="1"/>
  <c r="P198" i="1"/>
  <c r="P200" i="1"/>
  <c r="P202" i="1"/>
  <c r="P208" i="1"/>
  <c r="O198" i="1"/>
  <c r="O200" i="1"/>
  <c r="O202" i="1"/>
  <c r="O208" i="1"/>
  <c r="N198" i="1"/>
  <c r="N200" i="1"/>
  <c r="N202" i="1"/>
  <c r="N208" i="1"/>
  <c r="M198" i="1"/>
  <c r="M200" i="1"/>
  <c r="M202" i="1"/>
  <c r="M208" i="1"/>
  <c r="L198" i="1"/>
  <c r="L200" i="1"/>
  <c r="L202" i="1"/>
  <c r="L208" i="1"/>
  <c r="K198" i="1"/>
  <c r="K200" i="1"/>
  <c r="K202" i="1"/>
  <c r="K208" i="1"/>
  <c r="J198" i="1"/>
  <c r="J200" i="1"/>
  <c r="J202" i="1"/>
  <c r="J208" i="1"/>
  <c r="I198" i="1"/>
  <c r="I200" i="1"/>
  <c r="I202" i="1"/>
  <c r="I208" i="1"/>
  <c r="H198" i="1"/>
  <c r="H200" i="1"/>
  <c r="H202" i="1"/>
  <c r="H208" i="1"/>
  <c r="G198" i="1"/>
  <c r="G200" i="1"/>
  <c r="G202" i="1"/>
  <c r="G208" i="1"/>
  <c r="F198" i="1"/>
  <c r="F200" i="1"/>
  <c r="F202" i="1"/>
  <c r="F208" i="1"/>
  <c r="E198" i="1"/>
  <c r="E200" i="1"/>
  <c r="E202" i="1"/>
  <c r="E208" i="1"/>
  <c r="D198" i="1"/>
  <c r="D200" i="1"/>
  <c r="D202" i="1"/>
  <c r="D208" i="1"/>
  <c r="C198" i="1"/>
  <c r="C200" i="1"/>
  <c r="C202" i="1"/>
  <c r="C208" i="1"/>
  <c r="AF203" i="1"/>
  <c r="AF199" i="1"/>
  <c r="AF207" i="1"/>
  <c r="AE203" i="1"/>
  <c r="AE199" i="1"/>
  <c r="AE207" i="1"/>
  <c r="AD203" i="1"/>
  <c r="AD199" i="1"/>
  <c r="AD207" i="1"/>
  <c r="AC203" i="1"/>
  <c r="AC199" i="1"/>
  <c r="AC207" i="1"/>
  <c r="AB203" i="1"/>
  <c r="AB199" i="1"/>
  <c r="AB207" i="1"/>
  <c r="AA203" i="1"/>
  <c r="AA199" i="1"/>
  <c r="AA207" i="1"/>
  <c r="Z203" i="1"/>
  <c r="Z199" i="1"/>
  <c r="Z207" i="1"/>
  <c r="Y203" i="1"/>
  <c r="Y199" i="1"/>
  <c r="Y207" i="1"/>
  <c r="X203" i="1"/>
  <c r="X199" i="1"/>
  <c r="X207" i="1"/>
  <c r="W203" i="1"/>
  <c r="W199" i="1"/>
  <c r="W207" i="1"/>
  <c r="V203" i="1"/>
  <c r="V199" i="1"/>
  <c r="V207" i="1"/>
  <c r="U203" i="1"/>
  <c r="U199" i="1"/>
  <c r="U207" i="1"/>
  <c r="T203" i="1"/>
  <c r="T199" i="1"/>
  <c r="T207" i="1"/>
  <c r="S203" i="1"/>
  <c r="S199" i="1"/>
  <c r="S207" i="1"/>
  <c r="R203" i="1"/>
  <c r="R199" i="1"/>
  <c r="R207" i="1"/>
  <c r="Q203" i="1"/>
  <c r="Q199" i="1"/>
  <c r="Q207" i="1"/>
  <c r="P203" i="1"/>
  <c r="P199" i="1"/>
  <c r="P207" i="1"/>
  <c r="O203" i="1"/>
  <c r="O199" i="1"/>
  <c r="O207" i="1"/>
  <c r="N203" i="1"/>
  <c r="N199" i="1"/>
  <c r="N207" i="1"/>
  <c r="M203" i="1"/>
  <c r="M199" i="1"/>
  <c r="M207" i="1"/>
  <c r="L203" i="1"/>
  <c r="L199" i="1"/>
  <c r="L207" i="1"/>
  <c r="K203" i="1"/>
  <c r="K199" i="1"/>
  <c r="K207" i="1"/>
  <c r="J203" i="1"/>
  <c r="J199" i="1"/>
  <c r="J207" i="1"/>
  <c r="I203" i="1"/>
  <c r="I199" i="1"/>
  <c r="I207" i="1"/>
  <c r="H203" i="1"/>
  <c r="H199" i="1"/>
  <c r="H207" i="1"/>
  <c r="G203" i="1"/>
  <c r="G199" i="1"/>
  <c r="G207" i="1"/>
  <c r="F203" i="1"/>
  <c r="F199" i="1"/>
  <c r="F207" i="1"/>
  <c r="E203" i="1"/>
  <c r="E199" i="1"/>
  <c r="E207" i="1"/>
  <c r="D203" i="1"/>
  <c r="D199" i="1"/>
  <c r="D207" i="1"/>
  <c r="C203" i="1"/>
  <c r="C199" i="1"/>
  <c r="C207" i="1"/>
  <c r="AF206" i="1"/>
  <c r="AE206" i="1"/>
  <c r="AD206" i="1"/>
  <c r="AC206" i="1"/>
  <c r="AB206" i="1"/>
  <c r="AA206" i="1"/>
  <c r="Z206" i="1"/>
  <c r="Y206" i="1"/>
  <c r="X206" i="1"/>
  <c r="W206" i="1"/>
  <c r="V206" i="1"/>
  <c r="U206" i="1"/>
  <c r="T206" i="1"/>
  <c r="S206" i="1"/>
  <c r="R206" i="1"/>
  <c r="Q206" i="1"/>
  <c r="P206" i="1"/>
  <c r="O206" i="1"/>
  <c r="N206" i="1"/>
  <c r="M206" i="1"/>
  <c r="L206" i="1"/>
  <c r="K206" i="1"/>
  <c r="J206" i="1"/>
  <c r="I206" i="1"/>
  <c r="H206" i="1"/>
  <c r="G206" i="1"/>
  <c r="F206" i="1"/>
  <c r="E206" i="1"/>
  <c r="D206" i="1"/>
  <c r="C206" i="1"/>
  <c r="AF201" i="1"/>
  <c r="AF205" i="1"/>
  <c r="AE201" i="1"/>
  <c r="AE205" i="1"/>
  <c r="AD201" i="1"/>
  <c r="AD205" i="1"/>
  <c r="AC201" i="1"/>
  <c r="AC205" i="1"/>
  <c r="AB201" i="1"/>
  <c r="AB205" i="1"/>
  <c r="AA201" i="1"/>
  <c r="AA205" i="1"/>
  <c r="Z201" i="1"/>
  <c r="Z205" i="1"/>
  <c r="Y201" i="1"/>
  <c r="Y205" i="1"/>
  <c r="X201" i="1"/>
  <c r="X205" i="1"/>
  <c r="W201" i="1"/>
  <c r="W205" i="1"/>
  <c r="V201" i="1"/>
  <c r="V205" i="1"/>
  <c r="U201" i="1"/>
  <c r="U205" i="1"/>
  <c r="T201" i="1"/>
  <c r="T205" i="1"/>
  <c r="S201" i="1"/>
  <c r="S205" i="1"/>
  <c r="R201" i="1"/>
  <c r="R205" i="1"/>
  <c r="Q201" i="1"/>
  <c r="Q205" i="1"/>
  <c r="P201" i="1"/>
  <c r="P205" i="1"/>
  <c r="O201" i="1"/>
  <c r="O205" i="1"/>
  <c r="N201" i="1"/>
  <c r="N205" i="1"/>
  <c r="M201" i="1"/>
  <c r="M205" i="1"/>
  <c r="L201" i="1"/>
  <c r="L205" i="1"/>
  <c r="K201" i="1"/>
  <c r="K205" i="1"/>
  <c r="J201" i="1"/>
  <c r="J205" i="1"/>
  <c r="I201" i="1"/>
  <c r="I205" i="1"/>
  <c r="H201" i="1"/>
  <c r="H205" i="1"/>
  <c r="G201" i="1"/>
  <c r="G205" i="1"/>
  <c r="F201" i="1"/>
  <c r="F205" i="1"/>
  <c r="E201" i="1"/>
  <c r="E205" i="1"/>
  <c r="D201" i="1"/>
  <c r="D205" i="1"/>
  <c r="C201" i="1"/>
  <c r="C205" i="1"/>
  <c r="AF204" i="1"/>
  <c r="AE204" i="1"/>
  <c r="AD204" i="1"/>
  <c r="AC204" i="1"/>
  <c r="AB204" i="1"/>
  <c r="AA204" i="1"/>
  <c r="Z204" i="1"/>
  <c r="Y204" i="1"/>
  <c r="X204" i="1"/>
  <c r="W204" i="1"/>
  <c r="V204" i="1"/>
  <c r="U204" i="1"/>
  <c r="T204" i="1"/>
  <c r="S204" i="1"/>
  <c r="R204" i="1"/>
  <c r="Q204" i="1"/>
  <c r="P204" i="1"/>
  <c r="O204" i="1"/>
  <c r="N204" i="1"/>
  <c r="M204" i="1"/>
  <c r="L204" i="1"/>
  <c r="K204" i="1"/>
  <c r="J204" i="1"/>
  <c r="I204" i="1"/>
  <c r="H204" i="1"/>
  <c r="G204" i="1"/>
  <c r="F204" i="1"/>
  <c r="E204" i="1"/>
  <c r="D204" i="1"/>
  <c r="C204" i="1"/>
  <c r="C242" i="1"/>
  <c r="AM72" i="4"/>
  <c r="AF185" i="1"/>
  <c r="C241" i="1"/>
  <c r="AM73" i="4"/>
  <c r="AF187" i="1"/>
  <c r="AF189" i="1"/>
  <c r="AF195" i="1"/>
  <c r="AE185" i="1"/>
  <c r="AE187" i="1"/>
  <c r="AE189" i="1"/>
  <c r="AE195" i="1"/>
  <c r="AD185" i="1"/>
  <c r="AD187" i="1"/>
  <c r="AD189" i="1"/>
  <c r="AD195" i="1"/>
  <c r="AC185" i="1"/>
  <c r="AC187" i="1"/>
  <c r="AC189" i="1"/>
  <c r="AC195" i="1"/>
  <c r="AB185" i="1"/>
  <c r="AB187" i="1"/>
  <c r="AB189" i="1"/>
  <c r="AB195" i="1"/>
  <c r="AA185" i="1"/>
  <c r="AA187" i="1"/>
  <c r="AA189" i="1"/>
  <c r="AA195" i="1"/>
  <c r="Z185" i="1"/>
  <c r="Z187" i="1"/>
  <c r="Z189" i="1"/>
  <c r="Z195" i="1"/>
  <c r="Y185" i="1"/>
  <c r="Y187" i="1"/>
  <c r="Y189" i="1"/>
  <c r="Y195" i="1"/>
  <c r="X185" i="1"/>
  <c r="X187" i="1"/>
  <c r="X189" i="1"/>
  <c r="X195" i="1"/>
  <c r="W185" i="1"/>
  <c r="W187" i="1"/>
  <c r="W189" i="1"/>
  <c r="W195" i="1"/>
  <c r="V185" i="1"/>
  <c r="V187" i="1"/>
  <c r="V189" i="1"/>
  <c r="V195" i="1"/>
  <c r="U185" i="1"/>
  <c r="U187" i="1"/>
  <c r="U189" i="1"/>
  <c r="U195" i="1"/>
  <c r="T185" i="1"/>
  <c r="T187" i="1"/>
  <c r="T189" i="1"/>
  <c r="T195" i="1"/>
  <c r="S185" i="1"/>
  <c r="S187" i="1"/>
  <c r="S189" i="1"/>
  <c r="S195" i="1"/>
  <c r="R185" i="1"/>
  <c r="R187" i="1"/>
  <c r="R189" i="1"/>
  <c r="R195" i="1"/>
  <c r="Q185" i="1"/>
  <c r="Q187" i="1"/>
  <c r="Q189" i="1"/>
  <c r="Q195" i="1"/>
  <c r="P185" i="1"/>
  <c r="P187" i="1"/>
  <c r="P189" i="1"/>
  <c r="P195" i="1"/>
  <c r="O185" i="1"/>
  <c r="O187" i="1"/>
  <c r="O189" i="1"/>
  <c r="O195" i="1"/>
  <c r="N185" i="1"/>
  <c r="N187" i="1"/>
  <c r="N189" i="1"/>
  <c r="N195" i="1"/>
  <c r="M185" i="1"/>
  <c r="M187" i="1"/>
  <c r="M189" i="1"/>
  <c r="M195" i="1"/>
  <c r="L185" i="1"/>
  <c r="L187" i="1"/>
  <c r="L189" i="1"/>
  <c r="L195" i="1"/>
  <c r="K185" i="1"/>
  <c r="K187" i="1"/>
  <c r="K189" i="1"/>
  <c r="K195" i="1"/>
  <c r="J185" i="1"/>
  <c r="J187" i="1"/>
  <c r="J189" i="1"/>
  <c r="J195" i="1"/>
  <c r="I185" i="1"/>
  <c r="I187" i="1"/>
  <c r="I189" i="1"/>
  <c r="I195" i="1"/>
  <c r="H185" i="1"/>
  <c r="H187" i="1"/>
  <c r="H189" i="1"/>
  <c r="H195" i="1"/>
  <c r="G185" i="1"/>
  <c r="G187" i="1"/>
  <c r="G189" i="1"/>
  <c r="G195" i="1"/>
  <c r="F185" i="1"/>
  <c r="F187" i="1"/>
  <c r="F189" i="1"/>
  <c r="F195" i="1"/>
  <c r="E185" i="1"/>
  <c r="E187" i="1"/>
  <c r="E189" i="1"/>
  <c r="E195" i="1"/>
  <c r="D185" i="1"/>
  <c r="D187" i="1"/>
  <c r="D189" i="1"/>
  <c r="D195" i="1"/>
  <c r="C185" i="1"/>
  <c r="C187" i="1"/>
  <c r="C189" i="1"/>
  <c r="C195" i="1"/>
  <c r="AF190" i="1"/>
  <c r="AF186" i="1"/>
  <c r="AF194" i="1"/>
  <c r="AE190" i="1"/>
  <c r="AE186" i="1"/>
  <c r="AE194" i="1"/>
  <c r="AD190" i="1"/>
  <c r="AD186" i="1"/>
  <c r="AD194" i="1"/>
  <c r="AC190" i="1"/>
  <c r="AC186" i="1"/>
  <c r="AC194" i="1"/>
  <c r="AB190" i="1"/>
  <c r="AB186" i="1"/>
  <c r="AB194" i="1"/>
  <c r="AA190" i="1"/>
  <c r="AA186" i="1"/>
  <c r="AA194" i="1"/>
  <c r="Z190" i="1"/>
  <c r="Z186" i="1"/>
  <c r="Z194" i="1"/>
  <c r="Y190" i="1"/>
  <c r="Y186" i="1"/>
  <c r="Y194" i="1"/>
  <c r="X190" i="1"/>
  <c r="X186" i="1"/>
  <c r="X194" i="1"/>
  <c r="W190" i="1"/>
  <c r="W186" i="1"/>
  <c r="W194" i="1"/>
  <c r="V190" i="1"/>
  <c r="V186" i="1"/>
  <c r="V194" i="1"/>
  <c r="U190" i="1"/>
  <c r="U186" i="1"/>
  <c r="U194" i="1"/>
  <c r="T190" i="1"/>
  <c r="T186" i="1"/>
  <c r="T194" i="1"/>
  <c r="S190" i="1"/>
  <c r="S186" i="1"/>
  <c r="S194" i="1"/>
  <c r="R190" i="1"/>
  <c r="R186" i="1"/>
  <c r="R194" i="1"/>
  <c r="Q190" i="1"/>
  <c r="Q186" i="1"/>
  <c r="Q194" i="1"/>
  <c r="P190" i="1"/>
  <c r="P186" i="1"/>
  <c r="P194" i="1"/>
  <c r="O190" i="1"/>
  <c r="O186" i="1"/>
  <c r="O194" i="1"/>
  <c r="N190" i="1"/>
  <c r="N186" i="1"/>
  <c r="N194" i="1"/>
  <c r="M190" i="1"/>
  <c r="M186" i="1"/>
  <c r="M194" i="1"/>
  <c r="L190" i="1"/>
  <c r="L186" i="1"/>
  <c r="L194" i="1"/>
  <c r="K190" i="1"/>
  <c r="K186" i="1"/>
  <c r="K194" i="1"/>
  <c r="J190" i="1"/>
  <c r="J186" i="1"/>
  <c r="J194" i="1"/>
  <c r="I190" i="1"/>
  <c r="I186" i="1"/>
  <c r="I194" i="1"/>
  <c r="H190" i="1"/>
  <c r="H186" i="1"/>
  <c r="H194" i="1"/>
  <c r="G190" i="1"/>
  <c r="G186" i="1"/>
  <c r="G194" i="1"/>
  <c r="F190" i="1"/>
  <c r="F186" i="1"/>
  <c r="F194" i="1"/>
  <c r="E190" i="1"/>
  <c r="E186" i="1"/>
  <c r="E194" i="1"/>
  <c r="D190" i="1"/>
  <c r="D186" i="1"/>
  <c r="D194" i="1"/>
  <c r="C190" i="1"/>
  <c r="C186" i="1"/>
  <c r="C194" i="1"/>
  <c r="AF193" i="1"/>
  <c r="AE193" i="1"/>
  <c r="AD193" i="1"/>
  <c r="AC193" i="1"/>
  <c r="AB193" i="1"/>
  <c r="AA193" i="1"/>
  <c r="Z193" i="1"/>
  <c r="Y193" i="1"/>
  <c r="X193" i="1"/>
  <c r="W193" i="1"/>
  <c r="V193" i="1"/>
  <c r="U193" i="1"/>
  <c r="T193" i="1"/>
  <c r="S193" i="1"/>
  <c r="R193" i="1"/>
  <c r="Q193" i="1"/>
  <c r="P193" i="1"/>
  <c r="O193" i="1"/>
  <c r="N193" i="1"/>
  <c r="M193" i="1"/>
  <c r="L193" i="1"/>
  <c r="K193" i="1"/>
  <c r="J193" i="1"/>
  <c r="I193" i="1"/>
  <c r="H193" i="1"/>
  <c r="G193" i="1"/>
  <c r="F193" i="1"/>
  <c r="E193" i="1"/>
  <c r="D193" i="1"/>
  <c r="C193" i="1"/>
  <c r="AF188" i="1"/>
  <c r="AF192" i="1"/>
  <c r="AE188" i="1"/>
  <c r="AE192" i="1"/>
  <c r="AD188" i="1"/>
  <c r="AD192" i="1"/>
  <c r="AC188" i="1"/>
  <c r="AC192" i="1"/>
  <c r="AB188" i="1"/>
  <c r="AB192" i="1"/>
  <c r="AA188" i="1"/>
  <c r="AA192" i="1"/>
  <c r="Z188" i="1"/>
  <c r="Z192" i="1"/>
  <c r="Y188" i="1"/>
  <c r="Y192" i="1"/>
  <c r="X188" i="1"/>
  <c r="X192" i="1"/>
  <c r="W188" i="1"/>
  <c r="W192" i="1"/>
  <c r="V188" i="1"/>
  <c r="V192" i="1"/>
  <c r="U188" i="1"/>
  <c r="U192" i="1"/>
  <c r="T188" i="1"/>
  <c r="T192" i="1"/>
  <c r="S188" i="1"/>
  <c r="S192" i="1"/>
  <c r="R188" i="1"/>
  <c r="R192" i="1"/>
  <c r="Q188" i="1"/>
  <c r="Q192" i="1"/>
  <c r="P188" i="1"/>
  <c r="P192" i="1"/>
  <c r="O188" i="1"/>
  <c r="O192" i="1"/>
  <c r="N188" i="1"/>
  <c r="N192" i="1"/>
  <c r="M188" i="1"/>
  <c r="M192" i="1"/>
  <c r="L188" i="1"/>
  <c r="L192" i="1"/>
  <c r="K188" i="1"/>
  <c r="K192" i="1"/>
  <c r="J188" i="1"/>
  <c r="J192" i="1"/>
  <c r="I188" i="1"/>
  <c r="I192" i="1"/>
  <c r="H188" i="1"/>
  <c r="H192" i="1"/>
  <c r="G188" i="1"/>
  <c r="G192" i="1"/>
  <c r="F188" i="1"/>
  <c r="F192" i="1"/>
  <c r="E188" i="1"/>
  <c r="E192" i="1"/>
  <c r="D188" i="1"/>
  <c r="D192" i="1"/>
  <c r="C188" i="1"/>
  <c r="C192" i="1"/>
  <c r="AF191" i="1"/>
  <c r="AE191" i="1"/>
  <c r="AD191" i="1"/>
  <c r="AC191" i="1"/>
  <c r="AB191" i="1"/>
  <c r="AA191" i="1"/>
  <c r="Z191" i="1"/>
  <c r="Y191" i="1"/>
  <c r="X191" i="1"/>
  <c r="W191" i="1"/>
  <c r="V191" i="1"/>
  <c r="U191" i="1"/>
  <c r="T191" i="1"/>
  <c r="S191" i="1"/>
  <c r="R191" i="1"/>
  <c r="Q191" i="1"/>
  <c r="P191" i="1"/>
  <c r="O191" i="1"/>
  <c r="N191" i="1"/>
  <c r="M191" i="1"/>
  <c r="L191" i="1"/>
  <c r="K191" i="1"/>
  <c r="J191" i="1"/>
  <c r="I191" i="1"/>
  <c r="H191" i="1"/>
  <c r="G191" i="1"/>
  <c r="F191" i="1"/>
  <c r="E191" i="1"/>
  <c r="D191" i="1"/>
  <c r="C191" i="1"/>
  <c r="AG79" i="4"/>
  <c r="AG78" i="4"/>
  <c r="AG77" i="4"/>
  <c r="AG76" i="4"/>
  <c r="AG63" i="4"/>
  <c r="AG62" i="4"/>
  <c r="AG61" i="4"/>
  <c r="AG60" i="4"/>
  <c r="AF242" i="1"/>
  <c r="AF244" i="1"/>
  <c r="AF22" i="1"/>
  <c r="AF7" i="1"/>
  <c r="AF172" i="1"/>
  <c r="AF8" i="1"/>
  <c r="AF10" i="1"/>
  <c r="AF222" i="1"/>
  <c r="AF14" i="1"/>
  <c r="AF12" i="1"/>
  <c r="AF228" i="1"/>
  <c r="AF211" i="1"/>
  <c r="AF229" i="1"/>
  <c r="AF232" i="1"/>
  <c r="AF233" i="1"/>
  <c r="C243" i="1"/>
  <c r="AF236" i="1"/>
  <c r="AF139" i="1"/>
  <c r="AF230" i="1"/>
  <c r="AF234" i="1"/>
  <c r="AF133" i="1"/>
  <c r="AF173" i="1"/>
  <c r="AF26" i="1"/>
  <c r="AF245" i="1"/>
  <c r="AF28" i="1"/>
  <c r="AF351" i="1"/>
  <c r="AF217" i="1"/>
  <c r="AF216" i="1"/>
  <c r="AF219" i="1"/>
  <c r="AF369" i="1"/>
  <c r="AF127" i="1"/>
  <c r="AF71" i="1"/>
  <c r="AF38" i="1"/>
  <c r="AF243" i="1"/>
  <c r="AF692" i="1"/>
  <c r="AF130" i="1"/>
  <c r="AF693" i="1"/>
  <c r="AF42" i="1"/>
  <c r="AF672" i="1"/>
  <c r="AF43" i="1"/>
  <c r="AF674" i="1"/>
  <c r="AF694" i="1"/>
  <c r="AF695" i="1"/>
  <c r="AF696" i="1"/>
  <c r="AF697" i="1"/>
  <c r="AF698" i="1"/>
  <c r="AF699" i="1"/>
  <c r="AF700" i="1"/>
  <c r="AF701" i="1"/>
  <c r="AF702" i="1"/>
  <c r="AF703" i="1"/>
  <c r="AF704" i="1"/>
  <c r="AF705" i="1"/>
  <c r="AF706" i="1"/>
  <c r="AF707" i="1"/>
  <c r="AF708" i="1"/>
  <c r="AF709" i="1"/>
  <c r="AF710" i="1"/>
  <c r="AF711" i="1"/>
  <c r="AF713" i="1"/>
  <c r="AF714" i="1"/>
  <c r="AF661" i="1"/>
  <c r="AF675" i="1"/>
  <c r="AF662" i="1"/>
  <c r="AF676" i="1"/>
  <c r="AF716" i="1"/>
  <c r="AF84" i="1"/>
  <c r="AF837" i="1"/>
  <c r="AF446" i="1"/>
  <c r="AF13" i="1"/>
  <c r="AF248" i="1"/>
  <c r="AF447" i="1"/>
  <c r="AF826" i="1"/>
  <c r="AF448" i="1"/>
  <c r="AF15" i="1"/>
  <c r="AF249" i="1"/>
  <c r="AF449" i="1"/>
  <c r="AF827" i="1"/>
  <c r="AF454" i="1"/>
  <c r="AF223" i="1"/>
  <c r="AF455" i="1"/>
  <c r="AF828" i="1"/>
  <c r="AF456" i="1"/>
  <c r="AF212" i="1"/>
  <c r="AF278" i="1"/>
  <c r="AF457" i="1"/>
  <c r="AF829" i="1"/>
  <c r="AF458" i="1"/>
  <c r="AF273" i="1"/>
  <c r="AF459" i="1"/>
  <c r="AF830" i="1"/>
  <c r="AF460" i="1"/>
  <c r="AF270" i="1"/>
  <c r="AF461" i="1"/>
  <c r="AF831" i="1"/>
  <c r="AF224" i="1"/>
  <c r="AF361" i="1"/>
  <c r="AF27" i="1"/>
  <c r="AF256" i="1"/>
  <c r="AF362" i="1"/>
  <c r="AF832" i="1"/>
  <c r="AF365" i="1"/>
  <c r="AF339" i="1"/>
  <c r="AF268" i="1"/>
  <c r="AF340" i="1"/>
  <c r="AF341" i="1"/>
  <c r="AF342" i="1"/>
  <c r="AF343" i="1"/>
  <c r="AF29" i="1"/>
  <c r="AF257" i="1"/>
  <c r="AF344" i="1"/>
  <c r="AF345" i="1"/>
  <c r="AF267" i="1"/>
  <c r="AF346" i="1"/>
  <c r="AF31" i="1"/>
  <c r="AF30" i="1"/>
  <c r="AF258" i="1"/>
  <c r="AF347" i="1"/>
  <c r="AF348" i="1"/>
  <c r="AF269" i="1"/>
  <c r="AF349" i="1"/>
  <c r="AF350" i="1"/>
  <c r="AF352" i="1"/>
  <c r="AF366" i="1"/>
  <c r="AF833" i="1"/>
  <c r="AF367" i="1"/>
  <c r="AF218" i="1"/>
  <c r="AF279" i="1"/>
  <c r="AF368" i="1"/>
  <c r="AF834" i="1"/>
  <c r="AF657" i="1"/>
  <c r="AF648" i="1"/>
  <c r="AF623" i="1"/>
  <c r="AF23" i="1"/>
  <c r="AF253" i="1"/>
  <c r="AF624" i="1"/>
  <c r="AF18" i="1"/>
  <c r="AF625" i="1"/>
  <c r="AF280" i="1"/>
  <c r="AF626" i="1"/>
  <c r="AF627" i="1"/>
  <c r="AF263" i="1"/>
  <c r="AF628" i="1"/>
  <c r="AF629" i="1"/>
  <c r="AF276" i="1"/>
  <c r="AF630" i="1"/>
  <c r="AF631" i="1"/>
  <c r="AF632" i="1"/>
  <c r="AF633" i="1"/>
  <c r="AF272" i="1"/>
  <c r="AF634" i="1"/>
  <c r="AF635" i="1"/>
  <c r="AF262" i="1"/>
  <c r="AF636" i="1"/>
  <c r="AF637" i="1"/>
  <c r="AF274" i="1"/>
  <c r="AF638" i="1"/>
  <c r="AF639" i="1"/>
  <c r="AF19" i="1"/>
  <c r="AF251" i="1"/>
  <c r="AF640" i="1"/>
  <c r="AF254" i="1"/>
  <c r="AF641" i="1"/>
  <c r="AF642" i="1"/>
  <c r="AF277" i="1"/>
  <c r="AF643" i="1"/>
  <c r="AF644" i="1"/>
  <c r="AF264" i="1"/>
  <c r="AF645" i="1"/>
  <c r="AF646" i="1"/>
  <c r="AF140" i="1"/>
  <c r="AF649" i="1"/>
  <c r="AF650" i="1"/>
  <c r="AF450" i="1"/>
  <c r="AF260" i="1"/>
  <c r="AF451" i="1"/>
  <c r="AF452" i="1"/>
  <c r="AF453" i="1"/>
  <c r="AF462" i="1"/>
  <c r="AF463" i="1"/>
  <c r="AF266" i="1"/>
  <c r="AF464" i="1"/>
  <c r="AF465" i="1"/>
  <c r="AF134" i="1"/>
  <c r="AF135" i="1"/>
  <c r="AF363" i="1"/>
  <c r="AF364" i="1"/>
  <c r="AF370" i="1"/>
  <c r="AF128" i="1"/>
  <c r="AF129" i="1"/>
  <c r="AF72" i="1"/>
  <c r="AF39" i="1"/>
  <c r="AF651" i="1"/>
  <c r="AF143" i="1"/>
  <c r="AF717" i="1"/>
  <c r="AF719" i="1"/>
  <c r="AF142" i="1"/>
  <c r="AF715" i="1"/>
  <c r="AF658" i="1"/>
  <c r="AF835" i="1"/>
  <c r="AF659" i="1"/>
  <c r="AF673" i="1"/>
  <c r="AF660" i="1"/>
  <c r="AF836" i="1"/>
  <c r="AF825" i="1"/>
  <c r="AF849" i="1"/>
  <c r="AE242" i="1"/>
  <c r="AE244" i="1"/>
  <c r="AE22" i="1"/>
  <c r="AE7" i="1"/>
  <c r="AE172" i="1"/>
  <c r="AE8" i="1"/>
  <c r="AE10" i="1"/>
  <c r="AE222" i="1"/>
  <c r="AE14" i="1"/>
  <c r="AE12" i="1"/>
  <c r="AE228" i="1"/>
  <c r="AE211" i="1"/>
  <c r="AE229" i="1"/>
  <c r="AE232" i="1"/>
  <c r="AE233" i="1"/>
  <c r="AE236" i="1"/>
  <c r="AE139" i="1"/>
  <c r="AE230" i="1"/>
  <c r="AE234" i="1"/>
  <c r="AE133" i="1"/>
  <c r="AE173" i="1"/>
  <c r="AE26" i="1"/>
  <c r="AE245" i="1"/>
  <c r="AE28" i="1"/>
  <c r="AE351" i="1"/>
  <c r="AE217" i="1"/>
  <c r="AE216" i="1"/>
  <c r="AE219" i="1"/>
  <c r="AE369" i="1"/>
  <c r="AE127" i="1"/>
  <c r="AE71" i="1"/>
  <c r="AE38" i="1"/>
  <c r="AE243" i="1"/>
  <c r="AE692" i="1"/>
  <c r="AE130" i="1"/>
  <c r="AE693" i="1"/>
  <c r="AE42" i="1"/>
  <c r="AE672" i="1"/>
  <c r="AE43" i="1"/>
  <c r="AE674" i="1"/>
  <c r="AE694" i="1"/>
  <c r="AE695" i="1"/>
  <c r="AE696" i="1"/>
  <c r="AE697" i="1"/>
  <c r="AE698" i="1"/>
  <c r="AE699" i="1"/>
  <c r="AE700" i="1"/>
  <c r="AE701" i="1"/>
  <c r="AE702" i="1"/>
  <c r="AE703" i="1"/>
  <c r="AE704" i="1"/>
  <c r="AE705" i="1"/>
  <c r="AE706" i="1"/>
  <c r="AE707" i="1"/>
  <c r="AE708" i="1"/>
  <c r="AE709" i="1"/>
  <c r="AE710" i="1"/>
  <c r="AE711" i="1"/>
  <c r="AE713" i="1"/>
  <c r="AE714" i="1"/>
  <c r="AE661" i="1"/>
  <c r="AE675" i="1"/>
  <c r="AE662" i="1"/>
  <c r="AE676" i="1"/>
  <c r="AE716" i="1"/>
  <c r="AE84" i="1"/>
  <c r="AE837" i="1"/>
  <c r="AE446" i="1"/>
  <c r="AE13" i="1"/>
  <c r="AE248" i="1"/>
  <c r="AE447" i="1"/>
  <c r="AE826" i="1"/>
  <c r="AE448" i="1"/>
  <c r="AE15" i="1"/>
  <c r="AE249" i="1"/>
  <c r="AE449" i="1"/>
  <c r="AE827" i="1"/>
  <c r="AE454" i="1"/>
  <c r="AE223" i="1"/>
  <c r="AE455" i="1"/>
  <c r="AE828" i="1"/>
  <c r="AE456" i="1"/>
  <c r="AE212" i="1"/>
  <c r="AE278" i="1"/>
  <c r="AE457" i="1"/>
  <c r="AE829" i="1"/>
  <c r="AE458" i="1"/>
  <c r="AE273" i="1"/>
  <c r="AE459" i="1"/>
  <c r="AE830" i="1"/>
  <c r="AE460" i="1"/>
  <c r="AE270" i="1"/>
  <c r="AE461" i="1"/>
  <c r="AE831" i="1"/>
  <c r="AE224" i="1"/>
  <c r="AE361" i="1"/>
  <c r="AE27" i="1"/>
  <c r="AE256" i="1"/>
  <c r="AE362" i="1"/>
  <c r="AE832" i="1"/>
  <c r="AE365" i="1"/>
  <c r="AE339" i="1"/>
  <c r="AE268" i="1"/>
  <c r="AE340" i="1"/>
  <c r="AE341" i="1"/>
  <c r="AE342" i="1"/>
  <c r="AE343" i="1"/>
  <c r="AE29" i="1"/>
  <c r="AE257" i="1"/>
  <c r="AE344" i="1"/>
  <c r="AE345" i="1"/>
  <c r="AE267" i="1"/>
  <c r="AE346" i="1"/>
  <c r="AE31" i="1"/>
  <c r="AE30" i="1"/>
  <c r="AE258" i="1"/>
  <c r="AE347" i="1"/>
  <c r="AE348" i="1"/>
  <c r="AE269" i="1"/>
  <c r="AE349" i="1"/>
  <c r="AE350" i="1"/>
  <c r="AE352" i="1"/>
  <c r="AE366" i="1"/>
  <c r="AE833" i="1"/>
  <c r="AE367" i="1"/>
  <c r="AE218" i="1"/>
  <c r="AE279" i="1"/>
  <c r="AE368" i="1"/>
  <c r="AE834" i="1"/>
  <c r="AE657" i="1"/>
  <c r="AE648" i="1"/>
  <c r="AE623" i="1"/>
  <c r="AE23" i="1"/>
  <c r="AE253" i="1"/>
  <c r="AE624" i="1"/>
  <c r="AE18" i="1"/>
  <c r="AE625" i="1"/>
  <c r="AE280" i="1"/>
  <c r="AE626" i="1"/>
  <c r="AE627" i="1"/>
  <c r="AE263" i="1"/>
  <c r="AE628" i="1"/>
  <c r="AE629" i="1"/>
  <c r="AE276" i="1"/>
  <c r="AE630" i="1"/>
  <c r="AE631" i="1"/>
  <c r="AE632" i="1"/>
  <c r="AE633" i="1"/>
  <c r="AE272" i="1"/>
  <c r="AE634" i="1"/>
  <c r="AE635" i="1"/>
  <c r="AE262" i="1"/>
  <c r="AE636" i="1"/>
  <c r="AE637" i="1"/>
  <c r="AE274" i="1"/>
  <c r="AE638" i="1"/>
  <c r="AE639" i="1"/>
  <c r="AE19" i="1"/>
  <c r="AE251" i="1"/>
  <c r="AE640" i="1"/>
  <c r="AE254" i="1"/>
  <c r="AE641" i="1"/>
  <c r="AE642" i="1"/>
  <c r="AE277" i="1"/>
  <c r="AE643" i="1"/>
  <c r="AE644" i="1"/>
  <c r="AE264" i="1"/>
  <c r="AE645" i="1"/>
  <c r="AE646" i="1"/>
  <c r="AE140" i="1"/>
  <c r="AE649" i="1"/>
  <c r="AE650" i="1"/>
  <c r="AE450" i="1"/>
  <c r="AE260" i="1"/>
  <c r="AE451" i="1"/>
  <c r="AE452" i="1"/>
  <c r="AE453" i="1"/>
  <c r="AE462" i="1"/>
  <c r="AE463" i="1"/>
  <c r="AE266" i="1"/>
  <c r="AE464" i="1"/>
  <c r="AE465" i="1"/>
  <c r="AE134" i="1"/>
  <c r="AE135" i="1"/>
  <c r="AE363" i="1"/>
  <c r="AE364" i="1"/>
  <c r="AE370" i="1"/>
  <c r="AE128" i="1"/>
  <c r="AE129" i="1"/>
  <c r="AE72" i="1"/>
  <c r="AE39" i="1"/>
  <c r="AE651" i="1"/>
  <c r="AE143" i="1"/>
  <c r="AE717" i="1"/>
  <c r="AE719" i="1"/>
  <c r="AE142" i="1"/>
  <c r="AE715" i="1"/>
  <c r="AE658" i="1"/>
  <c r="AE835" i="1"/>
  <c r="AE659" i="1"/>
  <c r="AE673" i="1"/>
  <c r="AE660" i="1"/>
  <c r="AE836" i="1"/>
  <c r="AE825" i="1"/>
  <c r="AE849" i="1"/>
  <c r="AD242" i="1"/>
  <c r="AD244" i="1"/>
  <c r="AD22" i="1"/>
  <c r="AD7" i="1"/>
  <c r="AD172" i="1"/>
  <c r="AD8" i="1"/>
  <c r="AD10" i="1"/>
  <c r="AD222" i="1"/>
  <c r="AD14" i="1"/>
  <c r="AD12" i="1"/>
  <c r="AD228" i="1"/>
  <c r="AD211" i="1"/>
  <c r="AD229" i="1"/>
  <c r="AD232" i="1"/>
  <c r="AD233" i="1"/>
  <c r="AD236" i="1"/>
  <c r="AD139" i="1"/>
  <c r="AD230" i="1"/>
  <c r="AD234" i="1"/>
  <c r="AD133" i="1"/>
  <c r="AD173" i="1"/>
  <c r="AD26" i="1"/>
  <c r="AD245" i="1"/>
  <c r="AD28" i="1"/>
  <c r="AD351" i="1"/>
  <c r="AD217" i="1"/>
  <c r="AD216" i="1"/>
  <c r="AD219" i="1"/>
  <c r="AD369" i="1"/>
  <c r="AD127" i="1"/>
  <c r="AD71" i="1"/>
  <c r="AD38" i="1"/>
  <c r="AD243" i="1"/>
  <c r="AD692" i="1"/>
  <c r="AD130" i="1"/>
  <c r="AD693" i="1"/>
  <c r="AD42" i="1"/>
  <c r="AD672" i="1"/>
  <c r="AD43" i="1"/>
  <c r="AD674" i="1"/>
  <c r="AD694" i="1"/>
  <c r="AD695" i="1"/>
  <c r="AD696" i="1"/>
  <c r="AD697" i="1"/>
  <c r="AD698" i="1"/>
  <c r="AD699" i="1"/>
  <c r="AD700" i="1"/>
  <c r="AD701" i="1"/>
  <c r="AD702" i="1"/>
  <c r="AD703" i="1"/>
  <c r="AD704" i="1"/>
  <c r="AD705" i="1"/>
  <c r="AD706" i="1"/>
  <c r="AD707" i="1"/>
  <c r="AD708" i="1"/>
  <c r="AD709" i="1"/>
  <c r="AD710" i="1"/>
  <c r="AD711" i="1"/>
  <c r="AD713" i="1"/>
  <c r="AD714" i="1"/>
  <c r="AD661" i="1"/>
  <c r="AD675" i="1"/>
  <c r="AD662" i="1"/>
  <c r="AD676" i="1"/>
  <c r="AD716" i="1"/>
  <c r="AD84" i="1"/>
  <c r="AD837" i="1"/>
  <c r="AD446" i="1"/>
  <c r="AD13" i="1"/>
  <c r="AD248" i="1"/>
  <c r="AD447" i="1"/>
  <c r="AD826" i="1"/>
  <c r="AD448" i="1"/>
  <c r="AD15" i="1"/>
  <c r="AD249" i="1"/>
  <c r="AD449" i="1"/>
  <c r="AD827" i="1"/>
  <c r="AD454" i="1"/>
  <c r="AD223" i="1"/>
  <c r="AD455" i="1"/>
  <c r="AD828" i="1"/>
  <c r="AD456" i="1"/>
  <c r="AD212" i="1"/>
  <c r="AD278" i="1"/>
  <c r="AD457" i="1"/>
  <c r="AD829" i="1"/>
  <c r="AD458" i="1"/>
  <c r="AD273" i="1"/>
  <c r="AD459" i="1"/>
  <c r="AD830" i="1"/>
  <c r="AD460" i="1"/>
  <c r="AD270" i="1"/>
  <c r="AD461" i="1"/>
  <c r="AD831" i="1"/>
  <c r="AD224" i="1"/>
  <c r="AD361" i="1"/>
  <c r="AD27" i="1"/>
  <c r="AD256" i="1"/>
  <c r="AD362" i="1"/>
  <c r="AD832" i="1"/>
  <c r="AD365" i="1"/>
  <c r="AD339" i="1"/>
  <c r="AD268" i="1"/>
  <c r="AD340" i="1"/>
  <c r="AD341" i="1"/>
  <c r="AD342" i="1"/>
  <c r="AD343" i="1"/>
  <c r="AD29" i="1"/>
  <c r="AD257" i="1"/>
  <c r="AD344" i="1"/>
  <c r="AD345" i="1"/>
  <c r="AD267" i="1"/>
  <c r="AD346" i="1"/>
  <c r="AD31" i="1"/>
  <c r="AD30" i="1"/>
  <c r="AD258" i="1"/>
  <c r="AD347" i="1"/>
  <c r="AD348" i="1"/>
  <c r="AD269" i="1"/>
  <c r="AD349" i="1"/>
  <c r="AD350" i="1"/>
  <c r="AD352" i="1"/>
  <c r="AD366" i="1"/>
  <c r="AD833" i="1"/>
  <c r="AD367" i="1"/>
  <c r="AD218" i="1"/>
  <c r="AD279" i="1"/>
  <c r="AD368" i="1"/>
  <c r="AD834" i="1"/>
  <c r="AD657" i="1"/>
  <c r="AD648" i="1"/>
  <c r="AD623" i="1"/>
  <c r="AD23" i="1"/>
  <c r="AD253" i="1"/>
  <c r="AD624" i="1"/>
  <c r="AD18" i="1"/>
  <c r="AD625" i="1"/>
  <c r="AD280" i="1"/>
  <c r="AD626" i="1"/>
  <c r="AD627" i="1"/>
  <c r="AD263" i="1"/>
  <c r="AD628" i="1"/>
  <c r="AD629" i="1"/>
  <c r="AD276" i="1"/>
  <c r="AD630" i="1"/>
  <c r="AD631" i="1"/>
  <c r="AD632" i="1"/>
  <c r="AD633" i="1"/>
  <c r="AD272" i="1"/>
  <c r="AD634" i="1"/>
  <c r="AD635" i="1"/>
  <c r="AD262" i="1"/>
  <c r="AD636" i="1"/>
  <c r="AD637" i="1"/>
  <c r="AD274" i="1"/>
  <c r="AD638" i="1"/>
  <c r="AD639" i="1"/>
  <c r="AD19" i="1"/>
  <c r="AD251" i="1"/>
  <c r="AD640" i="1"/>
  <c r="AD254" i="1"/>
  <c r="AD641" i="1"/>
  <c r="AD642" i="1"/>
  <c r="AD277" i="1"/>
  <c r="AD643" i="1"/>
  <c r="AD644" i="1"/>
  <c r="AD264" i="1"/>
  <c r="AD645" i="1"/>
  <c r="AD646" i="1"/>
  <c r="AD140" i="1"/>
  <c r="AD649" i="1"/>
  <c r="AD650" i="1"/>
  <c r="AD450" i="1"/>
  <c r="AD260" i="1"/>
  <c r="AD451" i="1"/>
  <c r="AD452" i="1"/>
  <c r="AD453" i="1"/>
  <c r="AD462" i="1"/>
  <c r="AD463" i="1"/>
  <c r="AD266" i="1"/>
  <c r="AD464" i="1"/>
  <c r="AD465" i="1"/>
  <c r="AD134" i="1"/>
  <c r="AD135" i="1"/>
  <c r="AD363" i="1"/>
  <c r="AD364" i="1"/>
  <c r="AD370" i="1"/>
  <c r="AD128" i="1"/>
  <c r="AD129" i="1"/>
  <c r="AD72" i="1"/>
  <c r="AD39" i="1"/>
  <c r="AD651" i="1"/>
  <c r="AD143" i="1"/>
  <c r="AD717" i="1"/>
  <c r="AD719" i="1"/>
  <c r="AD142" i="1"/>
  <c r="AD715" i="1"/>
  <c r="AD658" i="1"/>
  <c r="AD835" i="1"/>
  <c r="AD659" i="1"/>
  <c r="AD673" i="1"/>
  <c r="AD660" i="1"/>
  <c r="AD836" i="1"/>
  <c r="AD825" i="1"/>
  <c r="AD849" i="1"/>
  <c r="AC242" i="1"/>
  <c r="AC244" i="1"/>
  <c r="AC22" i="1"/>
  <c r="AC7" i="1"/>
  <c r="AC172" i="1"/>
  <c r="AC8" i="1"/>
  <c r="AC10" i="1"/>
  <c r="AC222" i="1"/>
  <c r="AC14" i="1"/>
  <c r="AC12" i="1"/>
  <c r="AC228" i="1"/>
  <c r="AC211" i="1"/>
  <c r="AC229" i="1"/>
  <c r="AC232" i="1"/>
  <c r="AC233" i="1"/>
  <c r="AC236" i="1"/>
  <c r="AC139" i="1"/>
  <c r="AC230" i="1"/>
  <c r="AC234" i="1"/>
  <c r="AC133" i="1"/>
  <c r="AC173" i="1"/>
  <c r="AC26" i="1"/>
  <c r="AC245" i="1"/>
  <c r="AC28" i="1"/>
  <c r="AC351" i="1"/>
  <c r="AC217" i="1"/>
  <c r="AC216" i="1"/>
  <c r="AC219" i="1"/>
  <c r="AC369" i="1"/>
  <c r="AC127" i="1"/>
  <c r="AC71" i="1"/>
  <c r="AC38" i="1"/>
  <c r="AC243" i="1"/>
  <c r="AC692" i="1"/>
  <c r="AC130" i="1"/>
  <c r="AC693" i="1"/>
  <c r="AC42" i="1"/>
  <c r="AC672" i="1"/>
  <c r="AC43" i="1"/>
  <c r="AC674" i="1"/>
  <c r="AC694" i="1"/>
  <c r="AC695" i="1"/>
  <c r="AC696" i="1"/>
  <c r="AC697" i="1"/>
  <c r="AC698" i="1"/>
  <c r="AC699" i="1"/>
  <c r="AC700" i="1"/>
  <c r="AC701" i="1"/>
  <c r="AC702" i="1"/>
  <c r="AC703" i="1"/>
  <c r="AC704" i="1"/>
  <c r="AC705" i="1"/>
  <c r="AC706" i="1"/>
  <c r="AC707" i="1"/>
  <c r="AC708" i="1"/>
  <c r="AC709" i="1"/>
  <c r="AC710" i="1"/>
  <c r="AC711" i="1"/>
  <c r="AC713" i="1"/>
  <c r="AC714" i="1"/>
  <c r="AC661" i="1"/>
  <c r="AC675" i="1"/>
  <c r="AC662" i="1"/>
  <c r="AC676" i="1"/>
  <c r="AC716" i="1"/>
  <c r="AC84" i="1"/>
  <c r="AC837" i="1"/>
  <c r="AC446" i="1"/>
  <c r="AC13" i="1"/>
  <c r="AC248" i="1"/>
  <c r="AC447" i="1"/>
  <c r="AC826" i="1"/>
  <c r="AC448" i="1"/>
  <c r="AC15" i="1"/>
  <c r="AC249" i="1"/>
  <c r="AC449" i="1"/>
  <c r="AC827" i="1"/>
  <c r="AC454" i="1"/>
  <c r="AC223" i="1"/>
  <c r="AC455" i="1"/>
  <c r="AC828" i="1"/>
  <c r="AC456" i="1"/>
  <c r="AC212" i="1"/>
  <c r="AC278" i="1"/>
  <c r="AC457" i="1"/>
  <c r="AC829" i="1"/>
  <c r="AC458" i="1"/>
  <c r="AC273" i="1"/>
  <c r="AC459" i="1"/>
  <c r="AC830" i="1"/>
  <c r="AC460" i="1"/>
  <c r="AC270" i="1"/>
  <c r="AC461" i="1"/>
  <c r="AC831" i="1"/>
  <c r="AC224" i="1"/>
  <c r="AC361" i="1"/>
  <c r="AC27" i="1"/>
  <c r="AC256" i="1"/>
  <c r="AC362" i="1"/>
  <c r="AC832" i="1"/>
  <c r="AC365" i="1"/>
  <c r="AC339" i="1"/>
  <c r="AC268" i="1"/>
  <c r="AC340" i="1"/>
  <c r="AC341" i="1"/>
  <c r="AC342" i="1"/>
  <c r="AC343" i="1"/>
  <c r="AC29" i="1"/>
  <c r="AC257" i="1"/>
  <c r="AC344" i="1"/>
  <c r="AC345" i="1"/>
  <c r="AC267" i="1"/>
  <c r="AC346" i="1"/>
  <c r="AC31" i="1"/>
  <c r="AC30" i="1"/>
  <c r="AC258" i="1"/>
  <c r="AC347" i="1"/>
  <c r="AC348" i="1"/>
  <c r="AC269" i="1"/>
  <c r="AC349" i="1"/>
  <c r="AC350" i="1"/>
  <c r="AC352" i="1"/>
  <c r="AC366" i="1"/>
  <c r="AC833" i="1"/>
  <c r="AC367" i="1"/>
  <c r="AC218" i="1"/>
  <c r="AC279" i="1"/>
  <c r="AC368" i="1"/>
  <c r="AC834" i="1"/>
  <c r="AC657" i="1"/>
  <c r="AC648" i="1"/>
  <c r="AC623" i="1"/>
  <c r="AC23" i="1"/>
  <c r="AC253" i="1"/>
  <c r="AC624" i="1"/>
  <c r="AC18" i="1"/>
  <c r="AC625" i="1"/>
  <c r="AC280" i="1"/>
  <c r="AC626" i="1"/>
  <c r="AC627" i="1"/>
  <c r="AC263" i="1"/>
  <c r="AC628" i="1"/>
  <c r="AC629" i="1"/>
  <c r="AC276" i="1"/>
  <c r="AC630" i="1"/>
  <c r="AC631" i="1"/>
  <c r="AC632" i="1"/>
  <c r="AC633" i="1"/>
  <c r="AC272" i="1"/>
  <c r="AC634" i="1"/>
  <c r="AC635" i="1"/>
  <c r="AC262" i="1"/>
  <c r="AC636" i="1"/>
  <c r="AC637" i="1"/>
  <c r="AC274" i="1"/>
  <c r="AC638" i="1"/>
  <c r="AC639" i="1"/>
  <c r="AC19" i="1"/>
  <c r="AC251" i="1"/>
  <c r="AC640" i="1"/>
  <c r="AC254" i="1"/>
  <c r="AC641" i="1"/>
  <c r="AC642" i="1"/>
  <c r="AC277" i="1"/>
  <c r="AC643" i="1"/>
  <c r="AC644" i="1"/>
  <c r="AC264" i="1"/>
  <c r="AC645" i="1"/>
  <c r="AC646" i="1"/>
  <c r="AC140" i="1"/>
  <c r="AC649" i="1"/>
  <c r="AC650" i="1"/>
  <c r="AC450" i="1"/>
  <c r="AC260" i="1"/>
  <c r="AC451" i="1"/>
  <c r="AC452" i="1"/>
  <c r="AC453" i="1"/>
  <c r="AC462" i="1"/>
  <c r="AC463" i="1"/>
  <c r="AC266" i="1"/>
  <c r="AC464" i="1"/>
  <c r="AC465" i="1"/>
  <c r="AC134" i="1"/>
  <c r="AC135" i="1"/>
  <c r="AC363" i="1"/>
  <c r="AC364" i="1"/>
  <c r="AC370" i="1"/>
  <c r="AC128" i="1"/>
  <c r="AC129" i="1"/>
  <c r="AC72" i="1"/>
  <c r="AC39" i="1"/>
  <c r="AC651" i="1"/>
  <c r="AC143" i="1"/>
  <c r="AC717" i="1"/>
  <c r="AC719" i="1"/>
  <c r="AC142" i="1"/>
  <c r="AC715" i="1"/>
  <c r="AC658" i="1"/>
  <c r="AC835" i="1"/>
  <c r="AC659" i="1"/>
  <c r="AC673" i="1"/>
  <c r="AC660" i="1"/>
  <c r="AC836" i="1"/>
  <c r="AC825" i="1"/>
  <c r="AC849" i="1"/>
  <c r="AB242" i="1"/>
  <c r="AB244" i="1"/>
  <c r="AB22" i="1"/>
  <c r="AB7" i="1"/>
  <c r="AB172" i="1"/>
  <c r="AB8" i="1"/>
  <c r="AB10" i="1"/>
  <c r="AB222" i="1"/>
  <c r="AB14" i="1"/>
  <c r="AB12" i="1"/>
  <c r="AB228" i="1"/>
  <c r="AB211" i="1"/>
  <c r="AB229" i="1"/>
  <c r="AB232" i="1"/>
  <c r="AB233" i="1"/>
  <c r="AB236" i="1"/>
  <c r="AB139" i="1"/>
  <c r="AB230" i="1"/>
  <c r="AB234" i="1"/>
  <c r="AB133" i="1"/>
  <c r="AB173" i="1"/>
  <c r="AB26" i="1"/>
  <c r="AB245" i="1"/>
  <c r="AB28" i="1"/>
  <c r="AB351" i="1"/>
  <c r="AB217" i="1"/>
  <c r="AB216" i="1"/>
  <c r="AB219" i="1"/>
  <c r="AB369" i="1"/>
  <c r="AB127" i="1"/>
  <c r="AB71" i="1"/>
  <c r="AB38" i="1"/>
  <c r="AB243" i="1"/>
  <c r="AB692" i="1"/>
  <c r="AB130" i="1"/>
  <c r="AB693" i="1"/>
  <c r="AB42" i="1"/>
  <c r="AB672" i="1"/>
  <c r="AB43" i="1"/>
  <c r="AB674" i="1"/>
  <c r="AB694" i="1"/>
  <c r="AB695" i="1"/>
  <c r="AB696" i="1"/>
  <c r="AB697" i="1"/>
  <c r="AB698" i="1"/>
  <c r="AB699" i="1"/>
  <c r="AB700" i="1"/>
  <c r="AB701" i="1"/>
  <c r="AB702" i="1"/>
  <c r="AB703" i="1"/>
  <c r="AB704" i="1"/>
  <c r="AB705" i="1"/>
  <c r="AB706" i="1"/>
  <c r="AB707" i="1"/>
  <c r="AB708" i="1"/>
  <c r="AB709" i="1"/>
  <c r="AB710" i="1"/>
  <c r="AB711" i="1"/>
  <c r="AB713" i="1"/>
  <c r="AB714" i="1"/>
  <c r="AB661" i="1"/>
  <c r="AB675" i="1"/>
  <c r="AB662" i="1"/>
  <c r="AB676" i="1"/>
  <c r="AB716" i="1"/>
  <c r="AB84" i="1"/>
  <c r="AB837" i="1"/>
  <c r="AB446" i="1"/>
  <c r="AB13" i="1"/>
  <c r="AB248" i="1"/>
  <c r="AB447" i="1"/>
  <c r="AB826" i="1"/>
  <c r="AB448" i="1"/>
  <c r="AB15" i="1"/>
  <c r="AB249" i="1"/>
  <c r="AB449" i="1"/>
  <c r="AB827" i="1"/>
  <c r="AB454" i="1"/>
  <c r="AB223" i="1"/>
  <c r="AB455" i="1"/>
  <c r="AB828" i="1"/>
  <c r="AB456" i="1"/>
  <c r="AB212" i="1"/>
  <c r="AB278" i="1"/>
  <c r="AB457" i="1"/>
  <c r="AB829" i="1"/>
  <c r="AB458" i="1"/>
  <c r="AB273" i="1"/>
  <c r="AB459" i="1"/>
  <c r="AB830" i="1"/>
  <c r="AB460" i="1"/>
  <c r="AB270" i="1"/>
  <c r="AB461" i="1"/>
  <c r="AB831" i="1"/>
  <c r="AB224" i="1"/>
  <c r="AB361" i="1"/>
  <c r="AB27" i="1"/>
  <c r="AB256" i="1"/>
  <c r="AB362" i="1"/>
  <c r="AB832" i="1"/>
  <c r="AB365" i="1"/>
  <c r="AB339" i="1"/>
  <c r="AB268" i="1"/>
  <c r="AB340" i="1"/>
  <c r="AB341" i="1"/>
  <c r="AB342" i="1"/>
  <c r="AB343" i="1"/>
  <c r="AB29" i="1"/>
  <c r="AB257" i="1"/>
  <c r="AB344" i="1"/>
  <c r="AB345" i="1"/>
  <c r="AB267" i="1"/>
  <c r="AB346" i="1"/>
  <c r="AB31" i="1"/>
  <c r="AB30" i="1"/>
  <c r="AB258" i="1"/>
  <c r="AB347" i="1"/>
  <c r="AB348" i="1"/>
  <c r="AB269" i="1"/>
  <c r="AB349" i="1"/>
  <c r="AB350" i="1"/>
  <c r="AB352" i="1"/>
  <c r="AB366" i="1"/>
  <c r="AB833" i="1"/>
  <c r="AB367" i="1"/>
  <c r="AB218" i="1"/>
  <c r="AB279" i="1"/>
  <c r="AB368" i="1"/>
  <c r="AB834" i="1"/>
  <c r="AB657" i="1"/>
  <c r="AB648" i="1"/>
  <c r="AB623" i="1"/>
  <c r="AB23" i="1"/>
  <c r="AB253" i="1"/>
  <c r="AB624" i="1"/>
  <c r="AB18" i="1"/>
  <c r="AB625" i="1"/>
  <c r="AB280" i="1"/>
  <c r="AB626" i="1"/>
  <c r="AB627" i="1"/>
  <c r="AB263" i="1"/>
  <c r="AB628" i="1"/>
  <c r="AB629" i="1"/>
  <c r="AB276" i="1"/>
  <c r="AB630" i="1"/>
  <c r="AB631" i="1"/>
  <c r="AB632" i="1"/>
  <c r="AB633" i="1"/>
  <c r="AB272" i="1"/>
  <c r="AB634" i="1"/>
  <c r="AB635" i="1"/>
  <c r="AB262" i="1"/>
  <c r="AB636" i="1"/>
  <c r="AB637" i="1"/>
  <c r="AB274" i="1"/>
  <c r="AB638" i="1"/>
  <c r="AB639" i="1"/>
  <c r="AB19" i="1"/>
  <c r="AB251" i="1"/>
  <c r="AB640" i="1"/>
  <c r="AB254" i="1"/>
  <c r="AB641" i="1"/>
  <c r="AB642" i="1"/>
  <c r="AB277" i="1"/>
  <c r="AB643" i="1"/>
  <c r="AB644" i="1"/>
  <c r="AB264" i="1"/>
  <c r="AB645" i="1"/>
  <c r="AB646" i="1"/>
  <c r="AB140" i="1"/>
  <c r="AB649" i="1"/>
  <c r="AB650" i="1"/>
  <c r="AB450" i="1"/>
  <c r="AB260" i="1"/>
  <c r="AB451" i="1"/>
  <c r="AB452" i="1"/>
  <c r="AB453" i="1"/>
  <c r="AB462" i="1"/>
  <c r="AB463" i="1"/>
  <c r="AB266" i="1"/>
  <c r="AB464" i="1"/>
  <c r="AB465" i="1"/>
  <c r="AB134" i="1"/>
  <c r="AB135" i="1"/>
  <c r="AB363" i="1"/>
  <c r="AB364" i="1"/>
  <c r="AB370" i="1"/>
  <c r="AB128" i="1"/>
  <c r="AB129" i="1"/>
  <c r="AB72" i="1"/>
  <c r="AB39" i="1"/>
  <c r="AB651" i="1"/>
  <c r="AB143" i="1"/>
  <c r="AB717" i="1"/>
  <c r="AB719" i="1"/>
  <c r="AB142" i="1"/>
  <c r="AB715" i="1"/>
  <c r="AB658" i="1"/>
  <c r="AB835" i="1"/>
  <c r="AB659" i="1"/>
  <c r="AB673" i="1"/>
  <c r="AB660" i="1"/>
  <c r="AB836" i="1"/>
  <c r="AB825" i="1"/>
  <c r="AB849" i="1"/>
  <c r="AA242" i="1"/>
  <c r="AA244" i="1"/>
  <c r="AA22" i="1"/>
  <c r="AA7" i="1"/>
  <c r="AA172" i="1"/>
  <c r="AA8" i="1"/>
  <c r="AA10" i="1"/>
  <c r="AA222" i="1"/>
  <c r="AA14" i="1"/>
  <c r="AA12" i="1"/>
  <c r="AA228" i="1"/>
  <c r="AA211" i="1"/>
  <c r="AA229" i="1"/>
  <c r="AA232" i="1"/>
  <c r="AA233" i="1"/>
  <c r="AA236" i="1"/>
  <c r="AA139" i="1"/>
  <c r="AA230" i="1"/>
  <c r="AA234" i="1"/>
  <c r="AA133" i="1"/>
  <c r="AA173" i="1"/>
  <c r="AA26" i="1"/>
  <c r="AA245" i="1"/>
  <c r="AA28" i="1"/>
  <c r="AA351" i="1"/>
  <c r="AA217" i="1"/>
  <c r="AA216" i="1"/>
  <c r="AA219" i="1"/>
  <c r="AA369" i="1"/>
  <c r="AA127" i="1"/>
  <c r="AA71" i="1"/>
  <c r="AA38" i="1"/>
  <c r="AA243" i="1"/>
  <c r="AA692" i="1"/>
  <c r="AA130" i="1"/>
  <c r="AA693" i="1"/>
  <c r="AA42" i="1"/>
  <c r="AA672" i="1"/>
  <c r="AA43" i="1"/>
  <c r="AA674" i="1"/>
  <c r="AA694" i="1"/>
  <c r="AA695" i="1"/>
  <c r="AA696" i="1"/>
  <c r="AA697" i="1"/>
  <c r="AA698" i="1"/>
  <c r="AA699" i="1"/>
  <c r="AA700" i="1"/>
  <c r="AA701" i="1"/>
  <c r="AA702" i="1"/>
  <c r="AA703" i="1"/>
  <c r="AA704" i="1"/>
  <c r="AA705" i="1"/>
  <c r="AA706" i="1"/>
  <c r="AA707" i="1"/>
  <c r="AA708" i="1"/>
  <c r="AA709" i="1"/>
  <c r="AA710" i="1"/>
  <c r="AA711" i="1"/>
  <c r="AA713" i="1"/>
  <c r="AA714" i="1"/>
  <c r="AA661" i="1"/>
  <c r="AA675" i="1"/>
  <c r="AA662" i="1"/>
  <c r="AA676" i="1"/>
  <c r="AA716" i="1"/>
  <c r="AA84" i="1"/>
  <c r="AA837" i="1"/>
  <c r="AA446" i="1"/>
  <c r="AA13" i="1"/>
  <c r="AA248" i="1"/>
  <c r="AA447" i="1"/>
  <c r="AA826" i="1"/>
  <c r="AA448" i="1"/>
  <c r="AA15" i="1"/>
  <c r="AA249" i="1"/>
  <c r="AA449" i="1"/>
  <c r="AA827" i="1"/>
  <c r="AA454" i="1"/>
  <c r="AA223" i="1"/>
  <c r="AA455" i="1"/>
  <c r="AA828" i="1"/>
  <c r="AA456" i="1"/>
  <c r="AA212" i="1"/>
  <c r="AA278" i="1"/>
  <c r="AA457" i="1"/>
  <c r="AA829" i="1"/>
  <c r="AA458" i="1"/>
  <c r="AA273" i="1"/>
  <c r="AA459" i="1"/>
  <c r="AA830" i="1"/>
  <c r="AA460" i="1"/>
  <c r="AA270" i="1"/>
  <c r="AA461" i="1"/>
  <c r="AA831" i="1"/>
  <c r="AA224" i="1"/>
  <c r="AA361" i="1"/>
  <c r="AA27" i="1"/>
  <c r="AA256" i="1"/>
  <c r="AA362" i="1"/>
  <c r="AA832" i="1"/>
  <c r="AA365" i="1"/>
  <c r="AA339" i="1"/>
  <c r="AA268" i="1"/>
  <c r="AA340" i="1"/>
  <c r="AA341" i="1"/>
  <c r="AA342" i="1"/>
  <c r="AA343" i="1"/>
  <c r="AA29" i="1"/>
  <c r="AA257" i="1"/>
  <c r="AA344" i="1"/>
  <c r="AA345" i="1"/>
  <c r="AA267" i="1"/>
  <c r="AA346" i="1"/>
  <c r="AA31" i="1"/>
  <c r="AA30" i="1"/>
  <c r="AA258" i="1"/>
  <c r="AA347" i="1"/>
  <c r="AA348" i="1"/>
  <c r="AA269" i="1"/>
  <c r="AA349" i="1"/>
  <c r="AA350" i="1"/>
  <c r="AA352" i="1"/>
  <c r="AA366" i="1"/>
  <c r="AA833" i="1"/>
  <c r="AA367" i="1"/>
  <c r="AA218" i="1"/>
  <c r="AA279" i="1"/>
  <c r="AA368" i="1"/>
  <c r="AA834" i="1"/>
  <c r="AA657" i="1"/>
  <c r="AA648" i="1"/>
  <c r="AA623" i="1"/>
  <c r="AA23" i="1"/>
  <c r="AA253" i="1"/>
  <c r="AA624" i="1"/>
  <c r="AA18" i="1"/>
  <c r="AA625" i="1"/>
  <c r="AA280" i="1"/>
  <c r="AA626" i="1"/>
  <c r="AA627" i="1"/>
  <c r="AA263" i="1"/>
  <c r="AA628" i="1"/>
  <c r="AA629" i="1"/>
  <c r="AA276" i="1"/>
  <c r="AA630" i="1"/>
  <c r="AA631" i="1"/>
  <c r="AA632" i="1"/>
  <c r="AA633" i="1"/>
  <c r="AA272" i="1"/>
  <c r="AA634" i="1"/>
  <c r="AA635" i="1"/>
  <c r="AA262" i="1"/>
  <c r="AA636" i="1"/>
  <c r="AA637" i="1"/>
  <c r="AA274" i="1"/>
  <c r="AA638" i="1"/>
  <c r="AA639" i="1"/>
  <c r="AA19" i="1"/>
  <c r="AA251" i="1"/>
  <c r="AA640" i="1"/>
  <c r="AA254" i="1"/>
  <c r="AA641" i="1"/>
  <c r="AA642" i="1"/>
  <c r="AA277" i="1"/>
  <c r="AA643" i="1"/>
  <c r="AA644" i="1"/>
  <c r="AA264" i="1"/>
  <c r="AA645" i="1"/>
  <c r="AA646" i="1"/>
  <c r="AA140" i="1"/>
  <c r="AA649" i="1"/>
  <c r="AA650" i="1"/>
  <c r="AA450" i="1"/>
  <c r="AA260" i="1"/>
  <c r="AA451" i="1"/>
  <c r="AA452" i="1"/>
  <c r="AA453" i="1"/>
  <c r="AA462" i="1"/>
  <c r="AA463" i="1"/>
  <c r="AA266" i="1"/>
  <c r="AA464" i="1"/>
  <c r="AA465" i="1"/>
  <c r="AA134" i="1"/>
  <c r="AA135" i="1"/>
  <c r="AA363" i="1"/>
  <c r="AA364" i="1"/>
  <c r="AA370" i="1"/>
  <c r="AA128" i="1"/>
  <c r="AA129" i="1"/>
  <c r="AA72" i="1"/>
  <c r="AA39" i="1"/>
  <c r="AA651" i="1"/>
  <c r="AA143" i="1"/>
  <c r="AA717" i="1"/>
  <c r="AA719" i="1"/>
  <c r="AA142" i="1"/>
  <c r="AA715" i="1"/>
  <c r="AA658" i="1"/>
  <c r="AA835" i="1"/>
  <c r="AA659" i="1"/>
  <c r="AA673" i="1"/>
  <c r="AA660" i="1"/>
  <c r="AA836" i="1"/>
  <c r="AA825" i="1"/>
  <c r="AA849" i="1"/>
  <c r="Z242" i="1"/>
  <c r="Z244" i="1"/>
  <c r="Z22" i="1"/>
  <c r="Z7" i="1"/>
  <c r="Z172" i="1"/>
  <c r="Z8" i="1"/>
  <c r="Z24" i="1"/>
  <c r="Z336" i="1"/>
  <c r="Z222" i="1"/>
  <c r="Z14" i="1"/>
  <c r="Z12" i="1"/>
  <c r="Z228" i="1"/>
  <c r="Z211" i="1"/>
  <c r="Z229" i="1"/>
  <c r="Z232" i="1"/>
  <c r="Z233" i="1"/>
  <c r="Z236" i="1"/>
  <c r="Z139" i="1"/>
  <c r="Z230" i="1"/>
  <c r="Z234" i="1"/>
  <c r="Z133" i="1"/>
  <c r="Z173" i="1"/>
  <c r="Z26" i="1"/>
  <c r="Z245" i="1"/>
  <c r="Z28" i="1"/>
  <c r="Z351" i="1"/>
  <c r="Z217" i="1"/>
  <c r="Z216" i="1"/>
  <c r="Z219" i="1"/>
  <c r="Z369" i="1"/>
  <c r="Z127" i="1"/>
  <c r="Z71" i="1"/>
  <c r="Z38" i="1"/>
  <c r="Z243" i="1"/>
  <c r="Z692" i="1"/>
  <c r="Z130" i="1"/>
  <c r="Z693" i="1"/>
  <c r="Z42" i="1"/>
  <c r="Z672" i="1"/>
  <c r="Z43" i="1"/>
  <c r="Z674" i="1"/>
  <c r="Z694" i="1"/>
  <c r="Z695" i="1"/>
  <c r="Z696" i="1"/>
  <c r="Z697" i="1"/>
  <c r="Z698" i="1"/>
  <c r="Z699" i="1"/>
  <c r="Z700" i="1"/>
  <c r="Z701" i="1"/>
  <c r="Z702" i="1"/>
  <c r="Z703" i="1"/>
  <c r="Z704" i="1"/>
  <c r="Z705" i="1"/>
  <c r="Z706" i="1"/>
  <c r="Z707" i="1"/>
  <c r="Z708" i="1"/>
  <c r="Z709" i="1"/>
  <c r="Z710" i="1"/>
  <c r="Z711" i="1"/>
  <c r="Z713" i="1"/>
  <c r="Z714" i="1"/>
  <c r="Z661" i="1"/>
  <c r="Z675" i="1"/>
  <c r="Z662" i="1"/>
  <c r="Z676" i="1"/>
  <c r="Z716" i="1"/>
  <c r="Z84" i="1"/>
  <c r="Z837" i="1"/>
  <c r="Z446" i="1"/>
  <c r="Z13" i="1"/>
  <c r="Z248" i="1"/>
  <c r="Z447" i="1"/>
  <c r="Z826" i="1"/>
  <c r="Z448" i="1"/>
  <c r="Z15" i="1"/>
  <c r="Z249" i="1"/>
  <c r="Z449" i="1"/>
  <c r="Z827" i="1"/>
  <c r="Z454" i="1"/>
  <c r="Z332" i="1"/>
  <c r="Z259" i="1"/>
  <c r="Z333" i="1"/>
  <c r="Z334" i="1"/>
  <c r="Z25" i="1"/>
  <c r="Z255" i="1"/>
  <c r="Z335" i="1"/>
  <c r="Z337" i="1"/>
  <c r="Z223" i="1"/>
  <c r="Z455" i="1"/>
  <c r="Z828" i="1"/>
  <c r="Z456" i="1"/>
  <c r="Z212" i="1"/>
  <c r="Z278" i="1"/>
  <c r="Z457" i="1"/>
  <c r="Z829" i="1"/>
  <c r="Z458" i="1"/>
  <c r="Z273" i="1"/>
  <c r="Z459" i="1"/>
  <c r="Z830" i="1"/>
  <c r="Z460" i="1"/>
  <c r="Z270" i="1"/>
  <c r="Z461" i="1"/>
  <c r="Z831" i="1"/>
  <c r="Z224" i="1"/>
  <c r="Z361" i="1"/>
  <c r="Z27" i="1"/>
  <c r="Z256" i="1"/>
  <c r="Z362" i="1"/>
  <c r="Z832" i="1"/>
  <c r="Z365" i="1"/>
  <c r="Z339" i="1"/>
  <c r="Z268" i="1"/>
  <c r="Z340" i="1"/>
  <c r="Z341" i="1"/>
  <c r="Z342" i="1"/>
  <c r="Z343" i="1"/>
  <c r="Z29" i="1"/>
  <c r="Z257" i="1"/>
  <c r="Z344" i="1"/>
  <c r="Z345" i="1"/>
  <c r="Z267" i="1"/>
  <c r="Z346" i="1"/>
  <c r="Z31" i="1"/>
  <c r="Z30" i="1"/>
  <c r="Z258" i="1"/>
  <c r="Z347" i="1"/>
  <c r="Z348" i="1"/>
  <c r="Z269" i="1"/>
  <c r="Z349" i="1"/>
  <c r="Z350" i="1"/>
  <c r="Z352" i="1"/>
  <c r="Z366" i="1"/>
  <c r="Z833" i="1"/>
  <c r="Z367" i="1"/>
  <c r="Z218" i="1"/>
  <c r="Z279" i="1"/>
  <c r="Z368" i="1"/>
  <c r="Z834" i="1"/>
  <c r="Z657" i="1"/>
  <c r="Z648" i="1"/>
  <c r="Z623" i="1"/>
  <c r="Z23" i="1"/>
  <c r="Z253" i="1"/>
  <c r="Z624" i="1"/>
  <c r="Z18" i="1"/>
  <c r="Z625" i="1"/>
  <c r="Z280" i="1"/>
  <c r="Z626" i="1"/>
  <c r="Z627" i="1"/>
  <c r="Z263" i="1"/>
  <c r="Z628" i="1"/>
  <c r="Z629" i="1"/>
  <c r="Z276" i="1"/>
  <c r="Z630" i="1"/>
  <c r="Z631" i="1"/>
  <c r="Z632" i="1"/>
  <c r="Z633" i="1"/>
  <c r="Z272" i="1"/>
  <c r="Z634" i="1"/>
  <c r="Z635" i="1"/>
  <c r="Z262" i="1"/>
  <c r="Z636" i="1"/>
  <c r="Z637" i="1"/>
  <c r="Z274" i="1"/>
  <c r="Z638" i="1"/>
  <c r="Z639" i="1"/>
  <c r="Z19" i="1"/>
  <c r="Z251" i="1"/>
  <c r="Z640" i="1"/>
  <c r="Z254" i="1"/>
  <c r="Z641" i="1"/>
  <c r="Z642" i="1"/>
  <c r="Z277" i="1"/>
  <c r="Z643" i="1"/>
  <c r="Z644" i="1"/>
  <c r="Z264" i="1"/>
  <c r="Z645" i="1"/>
  <c r="Z646" i="1"/>
  <c r="Z140" i="1"/>
  <c r="Z649" i="1"/>
  <c r="Z650" i="1"/>
  <c r="Z450" i="1"/>
  <c r="Z260" i="1"/>
  <c r="Z451" i="1"/>
  <c r="Z452" i="1"/>
  <c r="Z453" i="1"/>
  <c r="Z462" i="1"/>
  <c r="Z463" i="1"/>
  <c r="Z266" i="1"/>
  <c r="Z464" i="1"/>
  <c r="Z465" i="1"/>
  <c r="Z134" i="1"/>
  <c r="Z135" i="1"/>
  <c r="Z363" i="1"/>
  <c r="Z364" i="1"/>
  <c r="Z370" i="1"/>
  <c r="Z128" i="1"/>
  <c r="Z129" i="1"/>
  <c r="Z72" i="1"/>
  <c r="Z39" i="1"/>
  <c r="Z651" i="1"/>
  <c r="Z143" i="1"/>
  <c r="Z717" i="1"/>
  <c r="Z719" i="1"/>
  <c r="Z142" i="1"/>
  <c r="Z715" i="1"/>
  <c r="Z658" i="1"/>
  <c r="Z835" i="1"/>
  <c r="Z659" i="1"/>
  <c r="Z673" i="1"/>
  <c r="Z660" i="1"/>
  <c r="Z836" i="1"/>
  <c r="Z825" i="1"/>
  <c r="Z849" i="1"/>
  <c r="Y242" i="1"/>
  <c r="Y244" i="1"/>
  <c r="Y22" i="1"/>
  <c r="Y7" i="1"/>
  <c r="Y172" i="1"/>
  <c r="Y8" i="1"/>
  <c r="Y24" i="1"/>
  <c r="Y336" i="1"/>
  <c r="Y222" i="1"/>
  <c r="Y14" i="1"/>
  <c r="Y12" i="1"/>
  <c r="Y228" i="1"/>
  <c r="Y211" i="1"/>
  <c r="Y229" i="1"/>
  <c r="Y232" i="1"/>
  <c r="Y233" i="1"/>
  <c r="Y236" i="1"/>
  <c r="Y139" i="1"/>
  <c r="Y230" i="1"/>
  <c r="Y234" i="1"/>
  <c r="Y133" i="1"/>
  <c r="Y173" i="1"/>
  <c r="Y26" i="1"/>
  <c r="Y245" i="1"/>
  <c r="Y28" i="1"/>
  <c r="Y351" i="1"/>
  <c r="Y217" i="1"/>
  <c r="Y216" i="1"/>
  <c r="Y219" i="1"/>
  <c r="Y369" i="1"/>
  <c r="Y127" i="1"/>
  <c r="Y71" i="1"/>
  <c r="Y38" i="1"/>
  <c r="Y243" i="1"/>
  <c r="Y692" i="1"/>
  <c r="Y130" i="1"/>
  <c r="Y693" i="1"/>
  <c r="Y42" i="1"/>
  <c r="Y672" i="1"/>
  <c r="Y43" i="1"/>
  <c r="Y674" i="1"/>
  <c r="Y694" i="1"/>
  <c r="Y695" i="1"/>
  <c r="Y696" i="1"/>
  <c r="Y697" i="1"/>
  <c r="Y698" i="1"/>
  <c r="Y699" i="1"/>
  <c r="Y700" i="1"/>
  <c r="Y701" i="1"/>
  <c r="Y702" i="1"/>
  <c r="Y703" i="1"/>
  <c r="Y704" i="1"/>
  <c r="Y705" i="1"/>
  <c r="Y706" i="1"/>
  <c r="Y707" i="1"/>
  <c r="Y708" i="1"/>
  <c r="Y709" i="1"/>
  <c r="Y710" i="1"/>
  <c r="Y711" i="1"/>
  <c r="Y713" i="1"/>
  <c r="Y714" i="1"/>
  <c r="Y661" i="1"/>
  <c r="Y675" i="1"/>
  <c r="Y662" i="1"/>
  <c r="Y676" i="1"/>
  <c r="Y716" i="1"/>
  <c r="Y84" i="1"/>
  <c r="Y837" i="1"/>
  <c r="Y446" i="1"/>
  <c r="Y13" i="1"/>
  <c r="Y248" i="1"/>
  <c r="Y447" i="1"/>
  <c r="Y826" i="1"/>
  <c r="Y448" i="1"/>
  <c r="Y15" i="1"/>
  <c r="Y249" i="1"/>
  <c r="Y449" i="1"/>
  <c r="Y827" i="1"/>
  <c r="Y454" i="1"/>
  <c r="Y332" i="1"/>
  <c r="Y259" i="1"/>
  <c r="Y333" i="1"/>
  <c r="Y334" i="1"/>
  <c r="Y25" i="1"/>
  <c r="Y255" i="1"/>
  <c r="Y335" i="1"/>
  <c r="Y337" i="1"/>
  <c r="Y223" i="1"/>
  <c r="Y455" i="1"/>
  <c r="Y828" i="1"/>
  <c r="Y456" i="1"/>
  <c r="Y212" i="1"/>
  <c r="Y278" i="1"/>
  <c r="Y457" i="1"/>
  <c r="Y829" i="1"/>
  <c r="Y458" i="1"/>
  <c r="Y273" i="1"/>
  <c r="Y459" i="1"/>
  <c r="Y830" i="1"/>
  <c r="Y460" i="1"/>
  <c r="Y270" i="1"/>
  <c r="Y461" i="1"/>
  <c r="Y831" i="1"/>
  <c r="Y224" i="1"/>
  <c r="Y361" i="1"/>
  <c r="Y27" i="1"/>
  <c r="Y256" i="1"/>
  <c r="Y362" i="1"/>
  <c r="Y832" i="1"/>
  <c r="Y365" i="1"/>
  <c r="Y339" i="1"/>
  <c r="Y268" i="1"/>
  <c r="Y340" i="1"/>
  <c r="Y341" i="1"/>
  <c r="Y342" i="1"/>
  <c r="Y343" i="1"/>
  <c r="Y29" i="1"/>
  <c r="Y257" i="1"/>
  <c r="Y344" i="1"/>
  <c r="Y345" i="1"/>
  <c r="Y267" i="1"/>
  <c r="Y346" i="1"/>
  <c r="Y31" i="1"/>
  <c r="Y30" i="1"/>
  <c r="Y258" i="1"/>
  <c r="Y347" i="1"/>
  <c r="Y348" i="1"/>
  <c r="Y269" i="1"/>
  <c r="Y349" i="1"/>
  <c r="Y350" i="1"/>
  <c r="Y352" i="1"/>
  <c r="Y366" i="1"/>
  <c r="Y833" i="1"/>
  <c r="Y367" i="1"/>
  <c r="Y218" i="1"/>
  <c r="Y279" i="1"/>
  <c r="Y368" i="1"/>
  <c r="Y834" i="1"/>
  <c r="Y657" i="1"/>
  <c r="Y648" i="1"/>
  <c r="Y623" i="1"/>
  <c r="Y23" i="1"/>
  <c r="Y253" i="1"/>
  <c r="Y624" i="1"/>
  <c r="Y18" i="1"/>
  <c r="Y625" i="1"/>
  <c r="Y280" i="1"/>
  <c r="Y626" i="1"/>
  <c r="Y627" i="1"/>
  <c r="Y263" i="1"/>
  <c r="Y628" i="1"/>
  <c r="Y629" i="1"/>
  <c r="Y276" i="1"/>
  <c r="Y630" i="1"/>
  <c r="Y631" i="1"/>
  <c r="Y632" i="1"/>
  <c r="Y633" i="1"/>
  <c r="Y272" i="1"/>
  <c r="Y634" i="1"/>
  <c r="Y635" i="1"/>
  <c r="Y262" i="1"/>
  <c r="Y636" i="1"/>
  <c r="Y637" i="1"/>
  <c r="Y274" i="1"/>
  <c r="Y638" i="1"/>
  <c r="Y639" i="1"/>
  <c r="Y19" i="1"/>
  <c r="Y251" i="1"/>
  <c r="Y640" i="1"/>
  <c r="Y254" i="1"/>
  <c r="Y641" i="1"/>
  <c r="Y642" i="1"/>
  <c r="Y277" i="1"/>
  <c r="Y643" i="1"/>
  <c r="Y644" i="1"/>
  <c r="Y264" i="1"/>
  <c r="Y645" i="1"/>
  <c r="Y646" i="1"/>
  <c r="Y140" i="1"/>
  <c r="Y649" i="1"/>
  <c r="Y650" i="1"/>
  <c r="Y450" i="1"/>
  <c r="Y260" i="1"/>
  <c r="Y451" i="1"/>
  <c r="Y452" i="1"/>
  <c r="Y453" i="1"/>
  <c r="Y462" i="1"/>
  <c r="Y463" i="1"/>
  <c r="Y266" i="1"/>
  <c r="Y464" i="1"/>
  <c r="Y465" i="1"/>
  <c r="Y134" i="1"/>
  <c r="Y135" i="1"/>
  <c r="Y363" i="1"/>
  <c r="Y364" i="1"/>
  <c r="Y370" i="1"/>
  <c r="Y128" i="1"/>
  <c r="Y129" i="1"/>
  <c r="Y72" i="1"/>
  <c r="Y39" i="1"/>
  <c r="Y651" i="1"/>
  <c r="Y143" i="1"/>
  <c r="Y717" i="1"/>
  <c r="Y719" i="1"/>
  <c r="Y142" i="1"/>
  <c r="Y715" i="1"/>
  <c r="Y658" i="1"/>
  <c r="Y835" i="1"/>
  <c r="Y659" i="1"/>
  <c r="Y673" i="1"/>
  <c r="Y660" i="1"/>
  <c r="Y836" i="1"/>
  <c r="Y825" i="1"/>
  <c r="Y849" i="1"/>
  <c r="X242" i="1"/>
  <c r="X244" i="1"/>
  <c r="X22" i="1"/>
  <c r="X7" i="1"/>
  <c r="X172" i="1"/>
  <c r="X8" i="1"/>
  <c r="X24" i="1"/>
  <c r="X336" i="1"/>
  <c r="X222" i="1"/>
  <c r="X14" i="1"/>
  <c r="X12" i="1"/>
  <c r="X228" i="1"/>
  <c r="X211" i="1"/>
  <c r="X229" i="1"/>
  <c r="X232" i="1"/>
  <c r="X233" i="1"/>
  <c r="X236" i="1"/>
  <c r="X139" i="1"/>
  <c r="X230" i="1"/>
  <c r="X234" i="1"/>
  <c r="X133" i="1"/>
  <c r="X173" i="1"/>
  <c r="X26" i="1"/>
  <c r="X245" i="1"/>
  <c r="X28" i="1"/>
  <c r="X351" i="1"/>
  <c r="X217" i="1"/>
  <c r="X216" i="1"/>
  <c r="X219" i="1"/>
  <c r="X369" i="1"/>
  <c r="X127" i="1"/>
  <c r="X71" i="1"/>
  <c r="X38" i="1"/>
  <c r="X243" i="1"/>
  <c r="X692" i="1"/>
  <c r="X130" i="1"/>
  <c r="X693" i="1"/>
  <c r="X42" i="1"/>
  <c r="X672" i="1"/>
  <c r="X43" i="1"/>
  <c r="X674" i="1"/>
  <c r="X694" i="1"/>
  <c r="X695" i="1"/>
  <c r="X696" i="1"/>
  <c r="X697" i="1"/>
  <c r="X698" i="1"/>
  <c r="X699" i="1"/>
  <c r="X700" i="1"/>
  <c r="X701" i="1"/>
  <c r="X702" i="1"/>
  <c r="X703" i="1"/>
  <c r="X704" i="1"/>
  <c r="X705" i="1"/>
  <c r="X706" i="1"/>
  <c r="X707" i="1"/>
  <c r="X708" i="1"/>
  <c r="X709" i="1"/>
  <c r="X710" i="1"/>
  <c r="X711" i="1"/>
  <c r="X713" i="1"/>
  <c r="X714" i="1"/>
  <c r="X661" i="1"/>
  <c r="X675" i="1"/>
  <c r="X662" i="1"/>
  <c r="X676" i="1"/>
  <c r="X716" i="1"/>
  <c r="X84" i="1"/>
  <c r="X837" i="1"/>
  <c r="X446" i="1"/>
  <c r="X13" i="1"/>
  <c r="X248" i="1"/>
  <c r="X447" i="1"/>
  <c r="X826" i="1"/>
  <c r="X448" i="1"/>
  <c r="X15" i="1"/>
  <c r="X249" i="1"/>
  <c r="X449" i="1"/>
  <c r="X827" i="1"/>
  <c r="X454" i="1"/>
  <c r="X332" i="1"/>
  <c r="X259" i="1"/>
  <c r="X333" i="1"/>
  <c r="X334" i="1"/>
  <c r="X25" i="1"/>
  <c r="X255" i="1"/>
  <c r="X335" i="1"/>
  <c r="X337" i="1"/>
  <c r="X223" i="1"/>
  <c r="X455" i="1"/>
  <c r="X828" i="1"/>
  <c r="X456" i="1"/>
  <c r="X212" i="1"/>
  <c r="X278" i="1"/>
  <c r="X457" i="1"/>
  <c r="X829" i="1"/>
  <c r="X458" i="1"/>
  <c r="X273" i="1"/>
  <c r="X459" i="1"/>
  <c r="X830" i="1"/>
  <c r="X460" i="1"/>
  <c r="X270" i="1"/>
  <c r="X461" i="1"/>
  <c r="X831" i="1"/>
  <c r="X224" i="1"/>
  <c r="X361" i="1"/>
  <c r="X27" i="1"/>
  <c r="X256" i="1"/>
  <c r="X362" i="1"/>
  <c r="X832" i="1"/>
  <c r="X365" i="1"/>
  <c r="X339" i="1"/>
  <c r="X268" i="1"/>
  <c r="X340" i="1"/>
  <c r="X341" i="1"/>
  <c r="X342" i="1"/>
  <c r="X343" i="1"/>
  <c r="X29" i="1"/>
  <c r="X257" i="1"/>
  <c r="X344" i="1"/>
  <c r="X345" i="1"/>
  <c r="X267" i="1"/>
  <c r="X346" i="1"/>
  <c r="X31" i="1"/>
  <c r="X30" i="1"/>
  <c r="X258" i="1"/>
  <c r="X347" i="1"/>
  <c r="X348" i="1"/>
  <c r="X269" i="1"/>
  <c r="X349" i="1"/>
  <c r="X350" i="1"/>
  <c r="X352" i="1"/>
  <c r="X366" i="1"/>
  <c r="X833" i="1"/>
  <c r="X367" i="1"/>
  <c r="X218" i="1"/>
  <c r="X279" i="1"/>
  <c r="X368" i="1"/>
  <c r="X834" i="1"/>
  <c r="X657" i="1"/>
  <c r="X648" i="1"/>
  <c r="X623" i="1"/>
  <c r="X23" i="1"/>
  <c r="X253" i="1"/>
  <c r="X624" i="1"/>
  <c r="X18" i="1"/>
  <c r="X625" i="1"/>
  <c r="X280" i="1"/>
  <c r="X626" i="1"/>
  <c r="X627" i="1"/>
  <c r="X263" i="1"/>
  <c r="X628" i="1"/>
  <c r="X629" i="1"/>
  <c r="X276" i="1"/>
  <c r="X630" i="1"/>
  <c r="X631" i="1"/>
  <c r="X632" i="1"/>
  <c r="X633" i="1"/>
  <c r="X272" i="1"/>
  <c r="X634" i="1"/>
  <c r="X635" i="1"/>
  <c r="X262" i="1"/>
  <c r="X636" i="1"/>
  <c r="X637" i="1"/>
  <c r="X274" i="1"/>
  <c r="X638" i="1"/>
  <c r="X639" i="1"/>
  <c r="X19" i="1"/>
  <c r="X251" i="1"/>
  <c r="X640" i="1"/>
  <c r="X254" i="1"/>
  <c r="X641" i="1"/>
  <c r="X642" i="1"/>
  <c r="X277" i="1"/>
  <c r="X643" i="1"/>
  <c r="X644" i="1"/>
  <c r="X264" i="1"/>
  <c r="X645" i="1"/>
  <c r="X646" i="1"/>
  <c r="X140" i="1"/>
  <c r="X649" i="1"/>
  <c r="X650" i="1"/>
  <c r="X450" i="1"/>
  <c r="X260" i="1"/>
  <c r="X451" i="1"/>
  <c r="X452" i="1"/>
  <c r="X453" i="1"/>
  <c r="X462" i="1"/>
  <c r="X463" i="1"/>
  <c r="X266" i="1"/>
  <c r="X464" i="1"/>
  <c r="X465" i="1"/>
  <c r="X134" i="1"/>
  <c r="X135" i="1"/>
  <c r="X363" i="1"/>
  <c r="X364" i="1"/>
  <c r="X370" i="1"/>
  <c r="X128" i="1"/>
  <c r="X129" i="1"/>
  <c r="X72" i="1"/>
  <c r="X39" i="1"/>
  <c r="X651" i="1"/>
  <c r="X143" i="1"/>
  <c r="X717" i="1"/>
  <c r="X719" i="1"/>
  <c r="X142" i="1"/>
  <c r="X715" i="1"/>
  <c r="X658" i="1"/>
  <c r="X835" i="1"/>
  <c r="X659" i="1"/>
  <c r="X673" i="1"/>
  <c r="X660" i="1"/>
  <c r="X836" i="1"/>
  <c r="X825" i="1"/>
  <c r="X849" i="1"/>
  <c r="W242" i="1"/>
  <c r="W244" i="1"/>
  <c r="W22" i="1"/>
  <c r="W7" i="1"/>
  <c r="W172" i="1"/>
  <c r="W8" i="1"/>
  <c r="W24" i="1"/>
  <c r="W336" i="1"/>
  <c r="W222" i="1"/>
  <c r="W14" i="1"/>
  <c r="W12" i="1"/>
  <c r="W228" i="1"/>
  <c r="W211" i="1"/>
  <c r="W229" i="1"/>
  <c r="W232" i="1"/>
  <c r="W233" i="1"/>
  <c r="W236" i="1"/>
  <c r="W139" i="1"/>
  <c r="W230" i="1"/>
  <c r="W234" i="1"/>
  <c r="W133" i="1"/>
  <c r="W173" i="1"/>
  <c r="W26" i="1"/>
  <c r="W245" i="1"/>
  <c r="W28" i="1"/>
  <c r="W351" i="1"/>
  <c r="W217" i="1"/>
  <c r="W216" i="1"/>
  <c r="W219" i="1"/>
  <c r="W369" i="1"/>
  <c r="W127" i="1"/>
  <c r="W71" i="1"/>
  <c r="W38" i="1"/>
  <c r="W243" i="1"/>
  <c r="W692" i="1"/>
  <c r="W130" i="1"/>
  <c r="W693" i="1"/>
  <c r="W42" i="1"/>
  <c r="W672" i="1"/>
  <c r="W43" i="1"/>
  <c r="W674" i="1"/>
  <c r="W694" i="1"/>
  <c r="W695" i="1"/>
  <c r="W696" i="1"/>
  <c r="W697" i="1"/>
  <c r="W698" i="1"/>
  <c r="W699" i="1"/>
  <c r="W700" i="1"/>
  <c r="W701" i="1"/>
  <c r="W702" i="1"/>
  <c r="W703" i="1"/>
  <c r="W704" i="1"/>
  <c r="W705" i="1"/>
  <c r="W706" i="1"/>
  <c r="W707" i="1"/>
  <c r="W708" i="1"/>
  <c r="W709" i="1"/>
  <c r="W710" i="1"/>
  <c r="W711" i="1"/>
  <c r="W713" i="1"/>
  <c r="W714" i="1"/>
  <c r="W661" i="1"/>
  <c r="W675" i="1"/>
  <c r="W662" i="1"/>
  <c r="W676" i="1"/>
  <c r="W716" i="1"/>
  <c r="W84" i="1"/>
  <c r="W837" i="1"/>
  <c r="W446" i="1"/>
  <c r="W13" i="1"/>
  <c r="W248" i="1"/>
  <c r="W447" i="1"/>
  <c r="W826" i="1"/>
  <c r="W448" i="1"/>
  <c r="W15" i="1"/>
  <c r="W249" i="1"/>
  <c r="W449" i="1"/>
  <c r="W827" i="1"/>
  <c r="W454" i="1"/>
  <c r="W332" i="1"/>
  <c r="W259" i="1"/>
  <c r="W333" i="1"/>
  <c r="W334" i="1"/>
  <c r="W25" i="1"/>
  <c r="W255" i="1"/>
  <c r="W335" i="1"/>
  <c r="W337" i="1"/>
  <c r="W223" i="1"/>
  <c r="W455" i="1"/>
  <c r="W828" i="1"/>
  <c r="W456" i="1"/>
  <c r="W212" i="1"/>
  <c r="W278" i="1"/>
  <c r="W457" i="1"/>
  <c r="W829" i="1"/>
  <c r="W458" i="1"/>
  <c r="W273" i="1"/>
  <c r="W459" i="1"/>
  <c r="W830" i="1"/>
  <c r="W460" i="1"/>
  <c r="W270" i="1"/>
  <c r="W461" i="1"/>
  <c r="W831" i="1"/>
  <c r="W224" i="1"/>
  <c r="W361" i="1"/>
  <c r="W27" i="1"/>
  <c r="W256" i="1"/>
  <c r="W362" i="1"/>
  <c r="W832" i="1"/>
  <c r="W365" i="1"/>
  <c r="W339" i="1"/>
  <c r="W268" i="1"/>
  <c r="W340" i="1"/>
  <c r="W341" i="1"/>
  <c r="W342" i="1"/>
  <c r="W343" i="1"/>
  <c r="W29" i="1"/>
  <c r="W257" i="1"/>
  <c r="W344" i="1"/>
  <c r="W345" i="1"/>
  <c r="W267" i="1"/>
  <c r="W346" i="1"/>
  <c r="W31" i="1"/>
  <c r="W30" i="1"/>
  <c r="W258" i="1"/>
  <c r="W347" i="1"/>
  <c r="W348" i="1"/>
  <c r="W269" i="1"/>
  <c r="W349" i="1"/>
  <c r="W350" i="1"/>
  <c r="W352" i="1"/>
  <c r="W366" i="1"/>
  <c r="W833" i="1"/>
  <c r="W367" i="1"/>
  <c r="W218" i="1"/>
  <c r="W279" i="1"/>
  <c r="W368" i="1"/>
  <c r="W834" i="1"/>
  <c r="W657" i="1"/>
  <c r="W648" i="1"/>
  <c r="W623" i="1"/>
  <c r="W23" i="1"/>
  <c r="W253" i="1"/>
  <c r="W624" i="1"/>
  <c r="W18" i="1"/>
  <c r="W625" i="1"/>
  <c r="W280" i="1"/>
  <c r="W626" i="1"/>
  <c r="W627" i="1"/>
  <c r="W263" i="1"/>
  <c r="W628" i="1"/>
  <c r="W629" i="1"/>
  <c r="W276" i="1"/>
  <c r="W630" i="1"/>
  <c r="W631" i="1"/>
  <c r="W632" i="1"/>
  <c r="W633" i="1"/>
  <c r="W272" i="1"/>
  <c r="W634" i="1"/>
  <c r="W635" i="1"/>
  <c r="W262" i="1"/>
  <c r="W636" i="1"/>
  <c r="W637" i="1"/>
  <c r="W274" i="1"/>
  <c r="W638" i="1"/>
  <c r="W639" i="1"/>
  <c r="W19" i="1"/>
  <c r="W251" i="1"/>
  <c r="W640" i="1"/>
  <c r="W254" i="1"/>
  <c r="W641" i="1"/>
  <c r="W642" i="1"/>
  <c r="W277" i="1"/>
  <c r="W643" i="1"/>
  <c r="W644" i="1"/>
  <c r="W264" i="1"/>
  <c r="W645" i="1"/>
  <c r="W646" i="1"/>
  <c r="W140" i="1"/>
  <c r="W649" i="1"/>
  <c r="W650" i="1"/>
  <c r="W450" i="1"/>
  <c r="W260" i="1"/>
  <c r="W451" i="1"/>
  <c r="W452" i="1"/>
  <c r="W453" i="1"/>
  <c r="W462" i="1"/>
  <c r="W463" i="1"/>
  <c r="W266" i="1"/>
  <c r="W464" i="1"/>
  <c r="W465" i="1"/>
  <c r="W134" i="1"/>
  <c r="W135" i="1"/>
  <c r="W363" i="1"/>
  <c r="W364" i="1"/>
  <c r="W370" i="1"/>
  <c r="W128" i="1"/>
  <c r="W129" i="1"/>
  <c r="W72" i="1"/>
  <c r="W39" i="1"/>
  <c r="W651" i="1"/>
  <c r="W143" i="1"/>
  <c r="W717" i="1"/>
  <c r="W719" i="1"/>
  <c r="W142" i="1"/>
  <c r="W715" i="1"/>
  <c r="W658" i="1"/>
  <c r="W835" i="1"/>
  <c r="W659" i="1"/>
  <c r="W673" i="1"/>
  <c r="W660" i="1"/>
  <c r="W836" i="1"/>
  <c r="W825" i="1"/>
  <c r="W849" i="1"/>
  <c r="V242" i="1"/>
  <c r="V244" i="1"/>
  <c r="V22" i="1"/>
  <c r="V7" i="1"/>
  <c r="V172" i="1"/>
  <c r="V8" i="1"/>
  <c r="V24" i="1"/>
  <c r="V336" i="1"/>
  <c r="V222" i="1"/>
  <c r="V14" i="1"/>
  <c r="V12" i="1"/>
  <c r="V228" i="1"/>
  <c r="V211" i="1"/>
  <c r="V229" i="1"/>
  <c r="V232" i="1"/>
  <c r="V233" i="1"/>
  <c r="V236" i="1"/>
  <c r="V139" i="1"/>
  <c r="V230" i="1"/>
  <c r="V234" i="1"/>
  <c r="V133" i="1"/>
  <c r="V173" i="1"/>
  <c r="V26" i="1"/>
  <c r="V245" i="1"/>
  <c r="V28" i="1"/>
  <c r="V351" i="1"/>
  <c r="V217" i="1"/>
  <c r="V216" i="1"/>
  <c r="V219" i="1"/>
  <c r="V369" i="1"/>
  <c r="V127" i="1"/>
  <c r="V71" i="1"/>
  <c r="V38" i="1"/>
  <c r="V243" i="1"/>
  <c r="V692" i="1"/>
  <c r="V130" i="1"/>
  <c r="V693" i="1"/>
  <c r="V42" i="1"/>
  <c r="V672" i="1"/>
  <c r="V43" i="1"/>
  <c r="V674" i="1"/>
  <c r="V694" i="1"/>
  <c r="V695" i="1"/>
  <c r="V696" i="1"/>
  <c r="V697" i="1"/>
  <c r="V698" i="1"/>
  <c r="V699" i="1"/>
  <c r="V700" i="1"/>
  <c r="V701" i="1"/>
  <c r="V702" i="1"/>
  <c r="V703" i="1"/>
  <c r="V704" i="1"/>
  <c r="V705" i="1"/>
  <c r="V706" i="1"/>
  <c r="V707" i="1"/>
  <c r="V708" i="1"/>
  <c r="V709" i="1"/>
  <c r="V710" i="1"/>
  <c r="V711" i="1"/>
  <c r="V713" i="1"/>
  <c r="V714" i="1"/>
  <c r="V661" i="1"/>
  <c r="V675" i="1"/>
  <c r="V662" i="1"/>
  <c r="V676" i="1"/>
  <c r="V716" i="1"/>
  <c r="V84" i="1"/>
  <c r="V837" i="1"/>
  <c r="V446" i="1"/>
  <c r="V13" i="1"/>
  <c r="V248" i="1"/>
  <c r="V447" i="1"/>
  <c r="V826" i="1"/>
  <c r="V448" i="1"/>
  <c r="V15" i="1"/>
  <c r="V249" i="1"/>
  <c r="V449" i="1"/>
  <c r="V827" i="1"/>
  <c r="V454" i="1"/>
  <c r="V332" i="1"/>
  <c r="V259" i="1"/>
  <c r="V333" i="1"/>
  <c r="V334" i="1"/>
  <c r="V25" i="1"/>
  <c r="V255" i="1"/>
  <c r="V335" i="1"/>
  <c r="V337" i="1"/>
  <c r="V223" i="1"/>
  <c r="V455" i="1"/>
  <c r="V828" i="1"/>
  <c r="V456" i="1"/>
  <c r="V212" i="1"/>
  <c r="V278" i="1"/>
  <c r="V457" i="1"/>
  <c r="V829" i="1"/>
  <c r="V458" i="1"/>
  <c r="V273" i="1"/>
  <c r="V459" i="1"/>
  <c r="V830" i="1"/>
  <c r="V460" i="1"/>
  <c r="V270" i="1"/>
  <c r="V461" i="1"/>
  <c r="V831" i="1"/>
  <c r="V224" i="1"/>
  <c r="V361" i="1"/>
  <c r="V27" i="1"/>
  <c r="V256" i="1"/>
  <c r="V362" i="1"/>
  <c r="V832" i="1"/>
  <c r="V365" i="1"/>
  <c r="V339" i="1"/>
  <c r="V268" i="1"/>
  <c r="V340" i="1"/>
  <c r="V341" i="1"/>
  <c r="V342" i="1"/>
  <c r="V343" i="1"/>
  <c r="V29" i="1"/>
  <c r="V257" i="1"/>
  <c r="V344" i="1"/>
  <c r="V345" i="1"/>
  <c r="V267" i="1"/>
  <c r="V346" i="1"/>
  <c r="V31" i="1"/>
  <c r="V30" i="1"/>
  <c r="V258" i="1"/>
  <c r="V347" i="1"/>
  <c r="V348" i="1"/>
  <c r="V269" i="1"/>
  <c r="V349" i="1"/>
  <c r="V350" i="1"/>
  <c r="V352" i="1"/>
  <c r="V366" i="1"/>
  <c r="V833" i="1"/>
  <c r="V367" i="1"/>
  <c r="V218" i="1"/>
  <c r="V279" i="1"/>
  <c r="V368" i="1"/>
  <c r="V834" i="1"/>
  <c r="V657" i="1"/>
  <c r="V648" i="1"/>
  <c r="V623" i="1"/>
  <c r="V23" i="1"/>
  <c r="V253" i="1"/>
  <c r="V624" i="1"/>
  <c r="V18" i="1"/>
  <c r="V625" i="1"/>
  <c r="V280" i="1"/>
  <c r="V626" i="1"/>
  <c r="V627" i="1"/>
  <c r="V263" i="1"/>
  <c r="V628" i="1"/>
  <c r="V629" i="1"/>
  <c r="V276" i="1"/>
  <c r="V630" i="1"/>
  <c r="V631" i="1"/>
  <c r="V632" i="1"/>
  <c r="V633" i="1"/>
  <c r="V272" i="1"/>
  <c r="V634" i="1"/>
  <c r="V635" i="1"/>
  <c r="V262" i="1"/>
  <c r="V636" i="1"/>
  <c r="V637" i="1"/>
  <c r="V274" i="1"/>
  <c r="V638" i="1"/>
  <c r="V639" i="1"/>
  <c r="V19" i="1"/>
  <c r="V251" i="1"/>
  <c r="V640" i="1"/>
  <c r="V254" i="1"/>
  <c r="V641" i="1"/>
  <c r="V642" i="1"/>
  <c r="V277" i="1"/>
  <c r="V643" i="1"/>
  <c r="V644" i="1"/>
  <c r="V264" i="1"/>
  <c r="V645" i="1"/>
  <c r="V646" i="1"/>
  <c r="V140" i="1"/>
  <c r="V649" i="1"/>
  <c r="V650" i="1"/>
  <c r="V450" i="1"/>
  <c r="V260" i="1"/>
  <c r="V451" i="1"/>
  <c r="V452" i="1"/>
  <c r="V453" i="1"/>
  <c r="V462" i="1"/>
  <c r="V463" i="1"/>
  <c r="V266" i="1"/>
  <c r="V464" i="1"/>
  <c r="V465" i="1"/>
  <c r="V134" i="1"/>
  <c r="V135" i="1"/>
  <c r="V363" i="1"/>
  <c r="V364" i="1"/>
  <c r="V370" i="1"/>
  <c r="V128" i="1"/>
  <c r="V129" i="1"/>
  <c r="V72" i="1"/>
  <c r="V39" i="1"/>
  <c r="V651" i="1"/>
  <c r="V143" i="1"/>
  <c r="V717" i="1"/>
  <c r="V719" i="1"/>
  <c r="V142" i="1"/>
  <c r="V715" i="1"/>
  <c r="V658" i="1"/>
  <c r="V835" i="1"/>
  <c r="V659" i="1"/>
  <c r="V673" i="1"/>
  <c r="V660" i="1"/>
  <c r="V836" i="1"/>
  <c r="V825" i="1"/>
  <c r="V849" i="1"/>
  <c r="U242" i="1"/>
  <c r="U244" i="1"/>
  <c r="U22" i="1"/>
  <c r="U7" i="1"/>
  <c r="U172" i="1"/>
  <c r="U8" i="1"/>
  <c r="U24" i="1"/>
  <c r="U336" i="1"/>
  <c r="U222" i="1"/>
  <c r="U14" i="1"/>
  <c r="U12" i="1"/>
  <c r="U228" i="1"/>
  <c r="U211" i="1"/>
  <c r="U229" i="1"/>
  <c r="U232" i="1"/>
  <c r="U233" i="1"/>
  <c r="U236" i="1"/>
  <c r="U139" i="1"/>
  <c r="U230" i="1"/>
  <c r="U234" i="1"/>
  <c r="U133" i="1"/>
  <c r="U173" i="1"/>
  <c r="U26" i="1"/>
  <c r="U245" i="1"/>
  <c r="U28" i="1"/>
  <c r="U351" i="1"/>
  <c r="U217" i="1"/>
  <c r="U216" i="1"/>
  <c r="U219" i="1"/>
  <c r="U369" i="1"/>
  <c r="U127" i="1"/>
  <c r="U71" i="1"/>
  <c r="U38" i="1"/>
  <c r="U243" i="1"/>
  <c r="U692" i="1"/>
  <c r="U130" i="1"/>
  <c r="U693" i="1"/>
  <c r="U42" i="1"/>
  <c r="U672" i="1"/>
  <c r="U43" i="1"/>
  <c r="U674" i="1"/>
  <c r="U694" i="1"/>
  <c r="U695" i="1"/>
  <c r="U696" i="1"/>
  <c r="U697" i="1"/>
  <c r="U698" i="1"/>
  <c r="U699" i="1"/>
  <c r="U700" i="1"/>
  <c r="U701" i="1"/>
  <c r="U702" i="1"/>
  <c r="U703" i="1"/>
  <c r="U704" i="1"/>
  <c r="U705" i="1"/>
  <c r="U706" i="1"/>
  <c r="U707" i="1"/>
  <c r="U708" i="1"/>
  <c r="U709" i="1"/>
  <c r="U710" i="1"/>
  <c r="U711" i="1"/>
  <c r="U713" i="1"/>
  <c r="U714" i="1"/>
  <c r="U661" i="1"/>
  <c r="U675" i="1"/>
  <c r="U662" i="1"/>
  <c r="U676" i="1"/>
  <c r="U716" i="1"/>
  <c r="U84" i="1"/>
  <c r="U837" i="1"/>
  <c r="U446" i="1"/>
  <c r="U13" i="1"/>
  <c r="U248" i="1"/>
  <c r="U447" i="1"/>
  <c r="U826" i="1"/>
  <c r="U448" i="1"/>
  <c r="U15" i="1"/>
  <c r="U249" i="1"/>
  <c r="U449" i="1"/>
  <c r="U827" i="1"/>
  <c r="U454" i="1"/>
  <c r="U332" i="1"/>
  <c r="U259" i="1"/>
  <c r="U333" i="1"/>
  <c r="U334" i="1"/>
  <c r="U25" i="1"/>
  <c r="U255" i="1"/>
  <c r="U335" i="1"/>
  <c r="U337" i="1"/>
  <c r="U223" i="1"/>
  <c r="U455" i="1"/>
  <c r="U828" i="1"/>
  <c r="U456" i="1"/>
  <c r="U212" i="1"/>
  <c r="U278" i="1"/>
  <c r="U457" i="1"/>
  <c r="U829" i="1"/>
  <c r="U458" i="1"/>
  <c r="U273" i="1"/>
  <c r="U459" i="1"/>
  <c r="U830" i="1"/>
  <c r="U460" i="1"/>
  <c r="U270" i="1"/>
  <c r="U461" i="1"/>
  <c r="U831" i="1"/>
  <c r="U224" i="1"/>
  <c r="U361" i="1"/>
  <c r="U27" i="1"/>
  <c r="U256" i="1"/>
  <c r="U362" i="1"/>
  <c r="U832" i="1"/>
  <c r="U365" i="1"/>
  <c r="U339" i="1"/>
  <c r="U268" i="1"/>
  <c r="U340" i="1"/>
  <c r="U341" i="1"/>
  <c r="U342" i="1"/>
  <c r="U343" i="1"/>
  <c r="U29" i="1"/>
  <c r="U257" i="1"/>
  <c r="U344" i="1"/>
  <c r="U345" i="1"/>
  <c r="U267" i="1"/>
  <c r="U346" i="1"/>
  <c r="U31" i="1"/>
  <c r="U30" i="1"/>
  <c r="U258" i="1"/>
  <c r="U347" i="1"/>
  <c r="U348" i="1"/>
  <c r="U269" i="1"/>
  <c r="U349" i="1"/>
  <c r="U350" i="1"/>
  <c r="U352" i="1"/>
  <c r="U366" i="1"/>
  <c r="U833" i="1"/>
  <c r="U367" i="1"/>
  <c r="U218" i="1"/>
  <c r="U279" i="1"/>
  <c r="U368" i="1"/>
  <c r="U834" i="1"/>
  <c r="U657" i="1"/>
  <c r="U648" i="1"/>
  <c r="U623" i="1"/>
  <c r="U23" i="1"/>
  <c r="U253" i="1"/>
  <c r="U624" i="1"/>
  <c r="U18" i="1"/>
  <c r="U625" i="1"/>
  <c r="U280" i="1"/>
  <c r="U626" i="1"/>
  <c r="U627" i="1"/>
  <c r="U263" i="1"/>
  <c r="U628" i="1"/>
  <c r="U629" i="1"/>
  <c r="U276" i="1"/>
  <c r="U630" i="1"/>
  <c r="U631" i="1"/>
  <c r="U632" i="1"/>
  <c r="U633" i="1"/>
  <c r="U272" i="1"/>
  <c r="U634" i="1"/>
  <c r="U635" i="1"/>
  <c r="U262" i="1"/>
  <c r="U636" i="1"/>
  <c r="U637" i="1"/>
  <c r="U274" i="1"/>
  <c r="U638" i="1"/>
  <c r="U639" i="1"/>
  <c r="U19" i="1"/>
  <c r="U251" i="1"/>
  <c r="U640" i="1"/>
  <c r="U254" i="1"/>
  <c r="U641" i="1"/>
  <c r="U642" i="1"/>
  <c r="U277" i="1"/>
  <c r="U643" i="1"/>
  <c r="U644" i="1"/>
  <c r="U264" i="1"/>
  <c r="U645" i="1"/>
  <c r="U646" i="1"/>
  <c r="U140" i="1"/>
  <c r="U649" i="1"/>
  <c r="U650" i="1"/>
  <c r="U450" i="1"/>
  <c r="U260" i="1"/>
  <c r="U451" i="1"/>
  <c r="U452" i="1"/>
  <c r="U453" i="1"/>
  <c r="U462" i="1"/>
  <c r="U463" i="1"/>
  <c r="U266" i="1"/>
  <c r="U464" i="1"/>
  <c r="U465" i="1"/>
  <c r="U134" i="1"/>
  <c r="U135" i="1"/>
  <c r="U363" i="1"/>
  <c r="U364" i="1"/>
  <c r="U370" i="1"/>
  <c r="U128" i="1"/>
  <c r="U129" i="1"/>
  <c r="U72" i="1"/>
  <c r="U39" i="1"/>
  <c r="U651" i="1"/>
  <c r="U143" i="1"/>
  <c r="U717" i="1"/>
  <c r="U719" i="1"/>
  <c r="U142" i="1"/>
  <c r="U715" i="1"/>
  <c r="U658" i="1"/>
  <c r="U835" i="1"/>
  <c r="U659" i="1"/>
  <c r="U673" i="1"/>
  <c r="U660" i="1"/>
  <c r="U836" i="1"/>
  <c r="U825" i="1"/>
  <c r="U849" i="1"/>
  <c r="T242" i="1"/>
  <c r="T244" i="1"/>
  <c r="T22" i="1"/>
  <c r="T7" i="1"/>
  <c r="T172" i="1"/>
  <c r="T8" i="1"/>
  <c r="T24" i="1"/>
  <c r="T336" i="1"/>
  <c r="T222" i="1"/>
  <c r="T14" i="1"/>
  <c r="T12" i="1"/>
  <c r="T228" i="1"/>
  <c r="T211" i="1"/>
  <c r="T229" i="1"/>
  <c r="T232" i="1"/>
  <c r="T233" i="1"/>
  <c r="T236" i="1"/>
  <c r="T139" i="1"/>
  <c r="T230" i="1"/>
  <c r="T234" i="1"/>
  <c r="T133" i="1"/>
  <c r="T173" i="1"/>
  <c r="T26" i="1"/>
  <c r="T245" i="1"/>
  <c r="T28" i="1"/>
  <c r="T351" i="1"/>
  <c r="T217" i="1"/>
  <c r="T216" i="1"/>
  <c r="T219" i="1"/>
  <c r="T369" i="1"/>
  <c r="T127" i="1"/>
  <c r="T71" i="1"/>
  <c r="T38" i="1"/>
  <c r="T243" i="1"/>
  <c r="T692" i="1"/>
  <c r="T130" i="1"/>
  <c r="T693" i="1"/>
  <c r="T42" i="1"/>
  <c r="T672" i="1"/>
  <c r="T43" i="1"/>
  <c r="T674" i="1"/>
  <c r="T694" i="1"/>
  <c r="T695" i="1"/>
  <c r="T696" i="1"/>
  <c r="T697" i="1"/>
  <c r="T698" i="1"/>
  <c r="T699" i="1"/>
  <c r="T700" i="1"/>
  <c r="T701" i="1"/>
  <c r="T702" i="1"/>
  <c r="T703" i="1"/>
  <c r="T704" i="1"/>
  <c r="T705" i="1"/>
  <c r="T706" i="1"/>
  <c r="T707" i="1"/>
  <c r="T708" i="1"/>
  <c r="T709" i="1"/>
  <c r="T710" i="1"/>
  <c r="T711" i="1"/>
  <c r="T713" i="1"/>
  <c r="T714" i="1"/>
  <c r="T661" i="1"/>
  <c r="T675" i="1"/>
  <c r="T662" i="1"/>
  <c r="T676" i="1"/>
  <c r="T716" i="1"/>
  <c r="T84" i="1"/>
  <c r="T837" i="1"/>
  <c r="T446" i="1"/>
  <c r="T13" i="1"/>
  <c r="T248" i="1"/>
  <c r="T447" i="1"/>
  <c r="T826" i="1"/>
  <c r="T448" i="1"/>
  <c r="T15" i="1"/>
  <c r="T249" i="1"/>
  <c r="T449" i="1"/>
  <c r="T827" i="1"/>
  <c r="T454" i="1"/>
  <c r="T332" i="1"/>
  <c r="T259" i="1"/>
  <c r="T333" i="1"/>
  <c r="T334" i="1"/>
  <c r="T25" i="1"/>
  <c r="T255" i="1"/>
  <c r="T335" i="1"/>
  <c r="T337" i="1"/>
  <c r="T223" i="1"/>
  <c r="T455" i="1"/>
  <c r="T828" i="1"/>
  <c r="T456" i="1"/>
  <c r="T212" i="1"/>
  <c r="T278" i="1"/>
  <c r="T457" i="1"/>
  <c r="T829" i="1"/>
  <c r="T458" i="1"/>
  <c r="T273" i="1"/>
  <c r="T459" i="1"/>
  <c r="T830" i="1"/>
  <c r="T460" i="1"/>
  <c r="T270" i="1"/>
  <c r="T461" i="1"/>
  <c r="T831" i="1"/>
  <c r="T224" i="1"/>
  <c r="T361" i="1"/>
  <c r="T27" i="1"/>
  <c r="T256" i="1"/>
  <c r="T362" i="1"/>
  <c r="T832" i="1"/>
  <c r="T365" i="1"/>
  <c r="T339" i="1"/>
  <c r="T268" i="1"/>
  <c r="T340" i="1"/>
  <c r="T341" i="1"/>
  <c r="T342" i="1"/>
  <c r="T343" i="1"/>
  <c r="T29" i="1"/>
  <c r="T257" i="1"/>
  <c r="T344" i="1"/>
  <c r="T345" i="1"/>
  <c r="T267" i="1"/>
  <c r="T346" i="1"/>
  <c r="T31" i="1"/>
  <c r="T30" i="1"/>
  <c r="T258" i="1"/>
  <c r="T347" i="1"/>
  <c r="T348" i="1"/>
  <c r="T269" i="1"/>
  <c r="T349" i="1"/>
  <c r="T350" i="1"/>
  <c r="T352" i="1"/>
  <c r="T366" i="1"/>
  <c r="T833" i="1"/>
  <c r="T367" i="1"/>
  <c r="T218" i="1"/>
  <c r="T279" i="1"/>
  <c r="T368" i="1"/>
  <c r="T834" i="1"/>
  <c r="T657" i="1"/>
  <c r="T648" i="1"/>
  <c r="T623" i="1"/>
  <c r="T23" i="1"/>
  <c r="T253" i="1"/>
  <c r="T624" i="1"/>
  <c r="T18" i="1"/>
  <c r="T625" i="1"/>
  <c r="T280" i="1"/>
  <c r="T626" i="1"/>
  <c r="T627" i="1"/>
  <c r="T263" i="1"/>
  <c r="T628" i="1"/>
  <c r="T629" i="1"/>
  <c r="T276" i="1"/>
  <c r="T630" i="1"/>
  <c r="T631" i="1"/>
  <c r="T632" i="1"/>
  <c r="T633" i="1"/>
  <c r="T272" i="1"/>
  <c r="T634" i="1"/>
  <c r="T635" i="1"/>
  <c r="T262" i="1"/>
  <c r="T636" i="1"/>
  <c r="T637" i="1"/>
  <c r="T274" i="1"/>
  <c r="T638" i="1"/>
  <c r="T639" i="1"/>
  <c r="T19" i="1"/>
  <c r="T251" i="1"/>
  <c r="T640" i="1"/>
  <c r="T254" i="1"/>
  <c r="T641" i="1"/>
  <c r="T642" i="1"/>
  <c r="T277" i="1"/>
  <c r="T643" i="1"/>
  <c r="T644" i="1"/>
  <c r="T264" i="1"/>
  <c r="T645" i="1"/>
  <c r="T646" i="1"/>
  <c r="T140" i="1"/>
  <c r="T649" i="1"/>
  <c r="T650" i="1"/>
  <c r="T450" i="1"/>
  <c r="T260" i="1"/>
  <c r="T451" i="1"/>
  <c r="T452" i="1"/>
  <c r="T453" i="1"/>
  <c r="T462" i="1"/>
  <c r="T463" i="1"/>
  <c r="T266" i="1"/>
  <c r="T464" i="1"/>
  <c r="T465" i="1"/>
  <c r="T134" i="1"/>
  <c r="T135" i="1"/>
  <c r="T363" i="1"/>
  <c r="T364" i="1"/>
  <c r="T370" i="1"/>
  <c r="T128" i="1"/>
  <c r="T129" i="1"/>
  <c r="T72" i="1"/>
  <c r="T39" i="1"/>
  <c r="T651" i="1"/>
  <c r="T143" i="1"/>
  <c r="T717" i="1"/>
  <c r="T719" i="1"/>
  <c r="T142" i="1"/>
  <c r="T715" i="1"/>
  <c r="T658" i="1"/>
  <c r="T835" i="1"/>
  <c r="T659" i="1"/>
  <c r="T673" i="1"/>
  <c r="T660" i="1"/>
  <c r="T836" i="1"/>
  <c r="T825" i="1"/>
  <c r="T849" i="1"/>
  <c r="S242" i="1"/>
  <c r="S244" i="1"/>
  <c r="S22" i="1"/>
  <c r="S7" i="1"/>
  <c r="S172" i="1"/>
  <c r="S8" i="1"/>
  <c r="S24" i="1"/>
  <c r="S336" i="1"/>
  <c r="S222" i="1"/>
  <c r="S14" i="1"/>
  <c r="S12" i="1"/>
  <c r="S228" i="1"/>
  <c r="S211" i="1"/>
  <c r="S229" i="1"/>
  <c r="S232" i="1"/>
  <c r="S233" i="1"/>
  <c r="S236" i="1"/>
  <c r="S139" i="1"/>
  <c r="S230" i="1"/>
  <c r="S234" i="1"/>
  <c r="S133" i="1"/>
  <c r="S173" i="1"/>
  <c r="S26" i="1"/>
  <c r="S245" i="1"/>
  <c r="S28" i="1"/>
  <c r="S351" i="1"/>
  <c r="S217" i="1"/>
  <c r="S216" i="1"/>
  <c r="S219" i="1"/>
  <c r="S369" i="1"/>
  <c r="S127" i="1"/>
  <c r="S71" i="1"/>
  <c r="S38" i="1"/>
  <c r="S243" i="1"/>
  <c r="S692" i="1"/>
  <c r="S130" i="1"/>
  <c r="S693" i="1"/>
  <c r="S42" i="1"/>
  <c r="S672" i="1"/>
  <c r="S43" i="1"/>
  <c r="S674" i="1"/>
  <c r="S694" i="1"/>
  <c r="S695" i="1"/>
  <c r="S696" i="1"/>
  <c r="S697" i="1"/>
  <c r="S698" i="1"/>
  <c r="S699" i="1"/>
  <c r="S700" i="1"/>
  <c r="S701" i="1"/>
  <c r="S702" i="1"/>
  <c r="S703" i="1"/>
  <c r="S704" i="1"/>
  <c r="S705" i="1"/>
  <c r="S706" i="1"/>
  <c r="S707" i="1"/>
  <c r="S708" i="1"/>
  <c r="S709" i="1"/>
  <c r="S710" i="1"/>
  <c r="S711" i="1"/>
  <c r="S713" i="1"/>
  <c r="S714" i="1"/>
  <c r="S661" i="1"/>
  <c r="S675" i="1"/>
  <c r="S662" i="1"/>
  <c r="S676" i="1"/>
  <c r="S716" i="1"/>
  <c r="S84" i="1"/>
  <c r="S837" i="1"/>
  <c r="S446" i="1"/>
  <c r="S13" i="1"/>
  <c r="S248" i="1"/>
  <c r="S447" i="1"/>
  <c r="S826" i="1"/>
  <c r="S448" i="1"/>
  <c r="S15" i="1"/>
  <c r="S249" i="1"/>
  <c r="S449" i="1"/>
  <c r="S827" i="1"/>
  <c r="S454" i="1"/>
  <c r="S332" i="1"/>
  <c r="S259" i="1"/>
  <c r="S333" i="1"/>
  <c r="S334" i="1"/>
  <c r="S25" i="1"/>
  <c r="S255" i="1"/>
  <c r="S335" i="1"/>
  <c r="S337" i="1"/>
  <c r="S223" i="1"/>
  <c r="S455" i="1"/>
  <c r="S828" i="1"/>
  <c r="S456" i="1"/>
  <c r="S212" i="1"/>
  <c r="S278" i="1"/>
  <c r="S457" i="1"/>
  <c r="S829" i="1"/>
  <c r="S458" i="1"/>
  <c r="S273" i="1"/>
  <c r="S459" i="1"/>
  <c r="S830" i="1"/>
  <c r="S460" i="1"/>
  <c r="S270" i="1"/>
  <c r="S461" i="1"/>
  <c r="S831" i="1"/>
  <c r="S224" i="1"/>
  <c r="S361" i="1"/>
  <c r="S27" i="1"/>
  <c r="S256" i="1"/>
  <c r="S362" i="1"/>
  <c r="S832" i="1"/>
  <c r="S365" i="1"/>
  <c r="S339" i="1"/>
  <c r="S268" i="1"/>
  <c r="S340" i="1"/>
  <c r="S341" i="1"/>
  <c r="S342" i="1"/>
  <c r="S343" i="1"/>
  <c r="S29" i="1"/>
  <c r="S257" i="1"/>
  <c r="S344" i="1"/>
  <c r="S345" i="1"/>
  <c r="S267" i="1"/>
  <c r="S346" i="1"/>
  <c r="S31" i="1"/>
  <c r="S30" i="1"/>
  <c r="S258" i="1"/>
  <c r="S347" i="1"/>
  <c r="S348" i="1"/>
  <c r="S269" i="1"/>
  <c r="S349" i="1"/>
  <c r="S350" i="1"/>
  <c r="S352" i="1"/>
  <c r="S366" i="1"/>
  <c r="S833" i="1"/>
  <c r="S367" i="1"/>
  <c r="S218" i="1"/>
  <c r="S279" i="1"/>
  <c r="S368" i="1"/>
  <c r="S834" i="1"/>
  <c r="S657" i="1"/>
  <c r="S648" i="1"/>
  <c r="S623" i="1"/>
  <c r="S23" i="1"/>
  <c r="S253" i="1"/>
  <c r="S624" i="1"/>
  <c r="S18" i="1"/>
  <c r="S625" i="1"/>
  <c r="S280" i="1"/>
  <c r="S626" i="1"/>
  <c r="S627" i="1"/>
  <c r="S263" i="1"/>
  <c r="S628" i="1"/>
  <c r="S629" i="1"/>
  <c r="S276" i="1"/>
  <c r="S630" i="1"/>
  <c r="S631" i="1"/>
  <c r="S632" i="1"/>
  <c r="S633" i="1"/>
  <c r="S272" i="1"/>
  <c r="S634" i="1"/>
  <c r="S635" i="1"/>
  <c r="S262" i="1"/>
  <c r="S636" i="1"/>
  <c r="S637" i="1"/>
  <c r="S274" i="1"/>
  <c r="S638" i="1"/>
  <c r="S639" i="1"/>
  <c r="S19" i="1"/>
  <c r="S251" i="1"/>
  <c r="S640" i="1"/>
  <c r="S254" i="1"/>
  <c r="S641" i="1"/>
  <c r="S642" i="1"/>
  <c r="S277" i="1"/>
  <c r="S643" i="1"/>
  <c r="S644" i="1"/>
  <c r="S264" i="1"/>
  <c r="S645" i="1"/>
  <c r="S646" i="1"/>
  <c r="S140" i="1"/>
  <c r="S649" i="1"/>
  <c r="S650" i="1"/>
  <c r="S450" i="1"/>
  <c r="S260" i="1"/>
  <c r="S451" i="1"/>
  <c r="S452" i="1"/>
  <c r="S453" i="1"/>
  <c r="S462" i="1"/>
  <c r="S463" i="1"/>
  <c r="S266" i="1"/>
  <c r="S464" i="1"/>
  <c r="S465" i="1"/>
  <c r="S134" i="1"/>
  <c r="S135" i="1"/>
  <c r="S363" i="1"/>
  <c r="S364" i="1"/>
  <c r="S370" i="1"/>
  <c r="S128" i="1"/>
  <c r="S129" i="1"/>
  <c r="S72" i="1"/>
  <c r="S39" i="1"/>
  <c r="S651" i="1"/>
  <c r="S143" i="1"/>
  <c r="S717" i="1"/>
  <c r="S719" i="1"/>
  <c r="S142" i="1"/>
  <c r="S715" i="1"/>
  <c r="S658" i="1"/>
  <c r="S835" i="1"/>
  <c r="S659" i="1"/>
  <c r="S673" i="1"/>
  <c r="S660" i="1"/>
  <c r="S836" i="1"/>
  <c r="S825" i="1"/>
  <c r="S849" i="1"/>
  <c r="R242" i="1"/>
  <c r="R244" i="1"/>
  <c r="R22" i="1"/>
  <c r="R7" i="1"/>
  <c r="R172" i="1"/>
  <c r="R8" i="1"/>
  <c r="R24" i="1"/>
  <c r="R336" i="1"/>
  <c r="R222" i="1"/>
  <c r="R14" i="1"/>
  <c r="R12" i="1"/>
  <c r="R228" i="1"/>
  <c r="R211" i="1"/>
  <c r="R229" i="1"/>
  <c r="R232" i="1"/>
  <c r="R233" i="1"/>
  <c r="R236" i="1"/>
  <c r="R139" i="1"/>
  <c r="R230" i="1"/>
  <c r="R234" i="1"/>
  <c r="R133" i="1"/>
  <c r="R173" i="1"/>
  <c r="R26" i="1"/>
  <c r="R245" i="1"/>
  <c r="R28" i="1"/>
  <c r="R351" i="1"/>
  <c r="R217" i="1"/>
  <c r="R216" i="1"/>
  <c r="R219" i="1"/>
  <c r="R369" i="1"/>
  <c r="R127" i="1"/>
  <c r="R71" i="1"/>
  <c r="R38" i="1"/>
  <c r="R243" i="1"/>
  <c r="R692" i="1"/>
  <c r="R130" i="1"/>
  <c r="R693" i="1"/>
  <c r="R42" i="1"/>
  <c r="R672" i="1"/>
  <c r="R43" i="1"/>
  <c r="R674" i="1"/>
  <c r="R694" i="1"/>
  <c r="R695" i="1"/>
  <c r="R696" i="1"/>
  <c r="R697" i="1"/>
  <c r="R698" i="1"/>
  <c r="R699" i="1"/>
  <c r="R700" i="1"/>
  <c r="R701" i="1"/>
  <c r="R702" i="1"/>
  <c r="R703" i="1"/>
  <c r="R704" i="1"/>
  <c r="R705" i="1"/>
  <c r="R706" i="1"/>
  <c r="R707" i="1"/>
  <c r="R708" i="1"/>
  <c r="R709" i="1"/>
  <c r="R710" i="1"/>
  <c r="R711" i="1"/>
  <c r="R713" i="1"/>
  <c r="R714" i="1"/>
  <c r="R661" i="1"/>
  <c r="R675" i="1"/>
  <c r="R662" i="1"/>
  <c r="R676" i="1"/>
  <c r="R716" i="1"/>
  <c r="R84" i="1"/>
  <c r="R837" i="1"/>
  <c r="R446" i="1"/>
  <c r="R13" i="1"/>
  <c r="R248" i="1"/>
  <c r="R447" i="1"/>
  <c r="R826" i="1"/>
  <c r="R448" i="1"/>
  <c r="R15" i="1"/>
  <c r="R249" i="1"/>
  <c r="R449" i="1"/>
  <c r="R827" i="1"/>
  <c r="R454" i="1"/>
  <c r="R332" i="1"/>
  <c r="R259" i="1"/>
  <c r="R333" i="1"/>
  <c r="R334" i="1"/>
  <c r="R25" i="1"/>
  <c r="R255" i="1"/>
  <c r="R335" i="1"/>
  <c r="R337" i="1"/>
  <c r="R223" i="1"/>
  <c r="R455" i="1"/>
  <c r="R828" i="1"/>
  <c r="R456" i="1"/>
  <c r="R212" i="1"/>
  <c r="R278" i="1"/>
  <c r="R457" i="1"/>
  <c r="R829" i="1"/>
  <c r="R458" i="1"/>
  <c r="R273" i="1"/>
  <c r="R459" i="1"/>
  <c r="R830" i="1"/>
  <c r="R460" i="1"/>
  <c r="R270" i="1"/>
  <c r="R461" i="1"/>
  <c r="R831" i="1"/>
  <c r="R224" i="1"/>
  <c r="R361" i="1"/>
  <c r="R27" i="1"/>
  <c r="R256" i="1"/>
  <c r="R362" i="1"/>
  <c r="R832" i="1"/>
  <c r="R365" i="1"/>
  <c r="R339" i="1"/>
  <c r="R268" i="1"/>
  <c r="R340" i="1"/>
  <c r="R341" i="1"/>
  <c r="R342" i="1"/>
  <c r="R343" i="1"/>
  <c r="R29" i="1"/>
  <c r="R257" i="1"/>
  <c r="R344" i="1"/>
  <c r="R345" i="1"/>
  <c r="R267" i="1"/>
  <c r="R346" i="1"/>
  <c r="R31" i="1"/>
  <c r="R30" i="1"/>
  <c r="R258" i="1"/>
  <c r="R347" i="1"/>
  <c r="R348" i="1"/>
  <c r="R269" i="1"/>
  <c r="R349" i="1"/>
  <c r="R350" i="1"/>
  <c r="R352" i="1"/>
  <c r="R366" i="1"/>
  <c r="R833" i="1"/>
  <c r="R367" i="1"/>
  <c r="R218" i="1"/>
  <c r="R279" i="1"/>
  <c r="R368" i="1"/>
  <c r="R834" i="1"/>
  <c r="R657" i="1"/>
  <c r="R648" i="1"/>
  <c r="R623" i="1"/>
  <c r="R23" i="1"/>
  <c r="R253" i="1"/>
  <c r="R624" i="1"/>
  <c r="R18" i="1"/>
  <c r="R625" i="1"/>
  <c r="R280" i="1"/>
  <c r="R626" i="1"/>
  <c r="R627" i="1"/>
  <c r="R263" i="1"/>
  <c r="R628" i="1"/>
  <c r="R629" i="1"/>
  <c r="R276" i="1"/>
  <c r="R630" i="1"/>
  <c r="R631" i="1"/>
  <c r="R632" i="1"/>
  <c r="R633" i="1"/>
  <c r="R272" i="1"/>
  <c r="R634" i="1"/>
  <c r="R635" i="1"/>
  <c r="R262" i="1"/>
  <c r="R636" i="1"/>
  <c r="R637" i="1"/>
  <c r="R274" i="1"/>
  <c r="R638" i="1"/>
  <c r="R639" i="1"/>
  <c r="R19" i="1"/>
  <c r="R251" i="1"/>
  <c r="R640" i="1"/>
  <c r="R254" i="1"/>
  <c r="R641" i="1"/>
  <c r="R642" i="1"/>
  <c r="R277" i="1"/>
  <c r="R643" i="1"/>
  <c r="R644" i="1"/>
  <c r="R264" i="1"/>
  <c r="R645" i="1"/>
  <c r="R646" i="1"/>
  <c r="R140" i="1"/>
  <c r="R649" i="1"/>
  <c r="R650" i="1"/>
  <c r="R450" i="1"/>
  <c r="R260" i="1"/>
  <c r="R451" i="1"/>
  <c r="R452" i="1"/>
  <c r="R453" i="1"/>
  <c r="R462" i="1"/>
  <c r="R463" i="1"/>
  <c r="R266" i="1"/>
  <c r="R464" i="1"/>
  <c r="R465" i="1"/>
  <c r="R134" i="1"/>
  <c r="R135" i="1"/>
  <c r="R363" i="1"/>
  <c r="R364" i="1"/>
  <c r="R370" i="1"/>
  <c r="R128" i="1"/>
  <c r="R129" i="1"/>
  <c r="R72" i="1"/>
  <c r="R39" i="1"/>
  <c r="R651" i="1"/>
  <c r="R143" i="1"/>
  <c r="R717" i="1"/>
  <c r="R719" i="1"/>
  <c r="R142" i="1"/>
  <c r="R715" i="1"/>
  <c r="R658" i="1"/>
  <c r="R835" i="1"/>
  <c r="R659" i="1"/>
  <c r="R673" i="1"/>
  <c r="R660" i="1"/>
  <c r="R836" i="1"/>
  <c r="R825" i="1"/>
  <c r="R849" i="1"/>
  <c r="Q242" i="1"/>
  <c r="Q244" i="1"/>
  <c r="Q22" i="1"/>
  <c r="Q7" i="1"/>
  <c r="Q172" i="1"/>
  <c r="Q8" i="1"/>
  <c r="Q10" i="1"/>
  <c r="Q222" i="1"/>
  <c r="Q14" i="1"/>
  <c r="Q12" i="1"/>
  <c r="Q228" i="1"/>
  <c r="Q211" i="1"/>
  <c r="Q229" i="1"/>
  <c r="Q232" i="1"/>
  <c r="Q233" i="1"/>
  <c r="Q236" i="1"/>
  <c r="Q139" i="1"/>
  <c r="Q230" i="1"/>
  <c r="Q234" i="1"/>
  <c r="Q133" i="1"/>
  <c r="Q173" i="1"/>
  <c r="Q26" i="1"/>
  <c r="Q245" i="1"/>
  <c r="Q28" i="1"/>
  <c r="Q351" i="1"/>
  <c r="Q217" i="1"/>
  <c r="Q216" i="1"/>
  <c r="Q219" i="1"/>
  <c r="Q369" i="1"/>
  <c r="Q127" i="1"/>
  <c r="Q71" i="1"/>
  <c r="Q38" i="1"/>
  <c r="Q243" i="1"/>
  <c r="Q692" i="1"/>
  <c r="Q130" i="1"/>
  <c r="Q693" i="1"/>
  <c r="Q42" i="1"/>
  <c r="Q672" i="1"/>
  <c r="Q43" i="1"/>
  <c r="Q674" i="1"/>
  <c r="Q694" i="1"/>
  <c r="Q695" i="1"/>
  <c r="Q696" i="1"/>
  <c r="Q697" i="1"/>
  <c r="Q698" i="1"/>
  <c r="Q699" i="1"/>
  <c r="Q700" i="1"/>
  <c r="Q701" i="1"/>
  <c r="Q702" i="1"/>
  <c r="Q703" i="1"/>
  <c r="Q704" i="1"/>
  <c r="Q705" i="1"/>
  <c r="Q706" i="1"/>
  <c r="Q707" i="1"/>
  <c r="Q708" i="1"/>
  <c r="Q709" i="1"/>
  <c r="Q710" i="1"/>
  <c r="Q711" i="1"/>
  <c r="Q713" i="1"/>
  <c r="Q714" i="1"/>
  <c r="Q661" i="1"/>
  <c r="Q675" i="1"/>
  <c r="Q662" i="1"/>
  <c r="Q676" i="1"/>
  <c r="Q716" i="1"/>
  <c r="Q84" i="1"/>
  <c r="Q837" i="1"/>
  <c r="Q446" i="1"/>
  <c r="Q13" i="1"/>
  <c r="Q248" i="1"/>
  <c r="Q447" i="1"/>
  <c r="Q826" i="1"/>
  <c r="Q448" i="1"/>
  <c r="Q15" i="1"/>
  <c r="Q249" i="1"/>
  <c r="Q449" i="1"/>
  <c r="Q827" i="1"/>
  <c r="Q454" i="1"/>
  <c r="Q223" i="1"/>
  <c r="Q455" i="1"/>
  <c r="Q828" i="1"/>
  <c r="Q456" i="1"/>
  <c r="Q212" i="1"/>
  <c r="Q278" i="1"/>
  <c r="Q457" i="1"/>
  <c r="Q829" i="1"/>
  <c r="Q458" i="1"/>
  <c r="Q273" i="1"/>
  <c r="Q459" i="1"/>
  <c r="Q830" i="1"/>
  <c r="Q460" i="1"/>
  <c r="Q270" i="1"/>
  <c r="Q461" i="1"/>
  <c r="Q831" i="1"/>
  <c r="Q224" i="1"/>
  <c r="Q361" i="1"/>
  <c r="Q27" i="1"/>
  <c r="Q256" i="1"/>
  <c r="Q362" i="1"/>
  <c r="Q832" i="1"/>
  <c r="Q365" i="1"/>
  <c r="Q339" i="1"/>
  <c r="Q268" i="1"/>
  <c r="Q340" i="1"/>
  <c r="Q341" i="1"/>
  <c r="Q342" i="1"/>
  <c r="Q343" i="1"/>
  <c r="Q29" i="1"/>
  <c r="Q257" i="1"/>
  <c r="Q344" i="1"/>
  <c r="Q345" i="1"/>
  <c r="Q267" i="1"/>
  <c r="Q346" i="1"/>
  <c r="Q31" i="1"/>
  <c r="Q30" i="1"/>
  <c r="Q258" i="1"/>
  <c r="Q347" i="1"/>
  <c r="Q348" i="1"/>
  <c r="Q269" i="1"/>
  <c r="Q349" i="1"/>
  <c r="Q350" i="1"/>
  <c r="Q352" i="1"/>
  <c r="Q366" i="1"/>
  <c r="Q833" i="1"/>
  <c r="Q367" i="1"/>
  <c r="Q218" i="1"/>
  <c r="Q279" i="1"/>
  <c r="Q368" i="1"/>
  <c r="Q834" i="1"/>
  <c r="Q657" i="1"/>
  <c r="Q648" i="1"/>
  <c r="Q623" i="1"/>
  <c r="Q23" i="1"/>
  <c r="Q253" i="1"/>
  <c r="Q624" i="1"/>
  <c r="Q18" i="1"/>
  <c r="Q625" i="1"/>
  <c r="Q280" i="1"/>
  <c r="Q626" i="1"/>
  <c r="Q627" i="1"/>
  <c r="Q263" i="1"/>
  <c r="Q628" i="1"/>
  <c r="Q629" i="1"/>
  <c r="Q276" i="1"/>
  <c r="Q630" i="1"/>
  <c r="Q631" i="1"/>
  <c r="Q632" i="1"/>
  <c r="Q633" i="1"/>
  <c r="Q272" i="1"/>
  <c r="Q634" i="1"/>
  <c r="Q635" i="1"/>
  <c r="Q262" i="1"/>
  <c r="Q636" i="1"/>
  <c r="Q637" i="1"/>
  <c r="Q274" i="1"/>
  <c r="Q638" i="1"/>
  <c r="Q639" i="1"/>
  <c r="Q19" i="1"/>
  <c r="Q251" i="1"/>
  <c r="Q640" i="1"/>
  <c r="Q254" i="1"/>
  <c r="Q641" i="1"/>
  <c r="Q642" i="1"/>
  <c r="Q277" i="1"/>
  <c r="Q643" i="1"/>
  <c r="Q644" i="1"/>
  <c r="Q264" i="1"/>
  <c r="Q645" i="1"/>
  <c r="Q646" i="1"/>
  <c r="Q140" i="1"/>
  <c r="Q649" i="1"/>
  <c r="Q650" i="1"/>
  <c r="Q450" i="1"/>
  <c r="Q260" i="1"/>
  <c r="Q451" i="1"/>
  <c r="Q452" i="1"/>
  <c r="Q453" i="1"/>
  <c r="Q462" i="1"/>
  <c r="Q463" i="1"/>
  <c r="Q266" i="1"/>
  <c r="Q464" i="1"/>
  <c r="Q465" i="1"/>
  <c r="Q134" i="1"/>
  <c r="Q135" i="1"/>
  <c r="Q363" i="1"/>
  <c r="Q364" i="1"/>
  <c r="Q370" i="1"/>
  <c r="Q128" i="1"/>
  <c r="Q129" i="1"/>
  <c r="Q72" i="1"/>
  <c r="Q39" i="1"/>
  <c r="Q651" i="1"/>
  <c r="Q143" i="1"/>
  <c r="Q717" i="1"/>
  <c r="Q719" i="1"/>
  <c r="Q142" i="1"/>
  <c r="Q715" i="1"/>
  <c r="Q658" i="1"/>
  <c r="Q835" i="1"/>
  <c r="Q659" i="1"/>
  <c r="Q673" i="1"/>
  <c r="Q660" i="1"/>
  <c r="Q836" i="1"/>
  <c r="Q825" i="1"/>
  <c r="Q849" i="1"/>
  <c r="P242" i="1"/>
  <c r="P244" i="1"/>
  <c r="P22" i="1"/>
  <c r="P7" i="1"/>
  <c r="P172" i="1"/>
  <c r="P8" i="1"/>
  <c r="P10" i="1"/>
  <c r="P222" i="1"/>
  <c r="P14" i="1"/>
  <c r="P12" i="1"/>
  <c r="P228" i="1"/>
  <c r="P211" i="1"/>
  <c r="P229" i="1"/>
  <c r="P232" i="1"/>
  <c r="P233" i="1"/>
  <c r="P236" i="1"/>
  <c r="P139" i="1"/>
  <c r="P230" i="1"/>
  <c r="P234" i="1"/>
  <c r="P133" i="1"/>
  <c r="P173" i="1"/>
  <c r="P26" i="1"/>
  <c r="P245" i="1"/>
  <c r="P28" i="1"/>
  <c r="P351" i="1"/>
  <c r="P217" i="1"/>
  <c r="P216" i="1"/>
  <c r="P219" i="1"/>
  <c r="P369" i="1"/>
  <c r="P127" i="1"/>
  <c r="P71" i="1"/>
  <c r="P38" i="1"/>
  <c r="P243" i="1"/>
  <c r="P692" i="1"/>
  <c r="P130" i="1"/>
  <c r="P693" i="1"/>
  <c r="P42" i="1"/>
  <c r="P672" i="1"/>
  <c r="P43" i="1"/>
  <c r="P674" i="1"/>
  <c r="P694" i="1"/>
  <c r="P695" i="1"/>
  <c r="P696" i="1"/>
  <c r="P697" i="1"/>
  <c r="P698" i="1"/>
  <c r="P699" i="1"/>
  <c r="P700" i="1"/>
  <c r="P701" i="1"/>
  <c r="P702" i="1"/>
  <c r="P703" i="1"/>
  <c r="P704" i="1"/>
  <c r="P705" i="1"/>
  <c r="P706" i="1"/>
  <c r="P707" i="1"/>
  <c r="P708" i="1"/>
  <c r="P709" i="1"/>
  <c r="P710" i="1"/>
  <c r="P711" i="1"/>
  <c r="P713" i="1"/>
  <c r="P714" i="1"/>
  <c r="P661" i="1"/>
  <c r="P675" i="1"/>
  <c r="P662" i="1"/>
  <c r="P676" i="1"/>
  <c r="P716" i="1"/>
  <c r="P84" i="1"/>
  <c r="P837" i="1"/>
  <c r="P446" i="1"/>
  <c r="P13" i="1"/>
  <c r="P248" i="1"/>
  <c r="P447" i="1"/>
  <c r="P826" i="1"/>
  <c r="P448" i="1"/>
  <c r="P15" i="1"/>
  <c r="P249" i="1"/>
  <c r="P449" i="1"/>
  <c r="P827" i="1"/>
  <c r="P454" i="1"/>
  <c r="P223" i="1"/>
  <c r="P455" i="1"/>
  <c r="P828" i="1"/>
  <c r="P456" i="1"/>
  <c r="P212" i="1"/>
  <c r="P278" i="1"/>
  <c r="P457" i="1"/>
  <c r="P829" i="1"/>
  <c r="P458" i="1"/>
  <c r="P273" i="1"/>
  <c r="P459" i="1"/>
  <c r="P830" i="1"/>
  <c r="P460" i="1"/>
  <c r="P270" i="1"/>
  <c r="P461" i="1"/>
  <c r="P831" i="1"/>
  <c r="P224" i="1"/>
  <c r="P361" i="1"/>
  <c r="P27" i="1"/>
  <c r="P256" i="1"/>
  <c r="P362" i="1"/>
  <c r="P832" i="1"/>
  <c r="P365" i="1"/>
  <c r="P339" i="1"/>
  <c r="P268" i="1"/>
  <c r="P340" i="1"/>
  <c r="P341" i="1"/>
  <c r="P342" i="1"/>
  <c r="P343" i="1"/>
  <c r="P29" i="1"/>
  <c r="P257" i="1"/>
  <c r="P344" i="1"/>
  <c r="P345" i="1"/>
  <c r="P267" i="1"/>
  <c r="P346" i="1"/>
  <c r="P31" i="1"/>
  <c r="P30" i="1"/>
  <c r="P258" i="1"/>
  <c r="P347" i="1"/>
  <c r="P348" i="1"/>
  <c r="P269" i="1"/>
  <c r="P349" i="1"/>
  <c r="P350" i="1"/>
  <c r="P352" i="1"/>
  <c r="P366" i="1"/>
  <c r="P833" i="1"/>
  <c r="P367" i="1"/>
  <c r="P218" i="1"/>
  <c r="P279" i="1"/>
  <c r="P368" i="1"/>
  <c r="P834" i="1"/>
  <c r="P657" i="1"/>
  <c r="P648" i="1"/>
  <c r="P623" i="1"/>
  <c r="P23" i="1"/>
  <c r="P253" i="1"/>
  <c r="P624" i="1"/>
  <c r="P18" i="1"/>
  <c r="P625" i="1"/>
  <c r="P280" i="1"/>
  <c r="P626" i="1"/>
  <c r="P627" i="1"/>
  <c r="P263" i="1"/>
  <c r="P628" i="1"/>
  <c r="P629" i="1"/>
  <c r="P276" i="1"/>
  <c r="P630" i="1"/>
  <c r="P631" i="1"/>
  <c r="P632" i="1"/>
  <c r="P633" i="1"/>
  <c r="P272" i="1"/>
  <c r="P634" i="1"/>
  <c r="P635" i="1"/>
  <c r="P262" i="1"/>
  <c r="P636" i="1"/>
  <c r="P637" i="1"/>
  <c r="P274" i="1"/>
  <c r="P638" i="1"/>
  <c r="P639" i="1"/>
  <c r="P19" i="1"/>
  <c r="P251" i="1"/>
  <c r="P640" i="1"/>
  <c r="P254" i="1"/>
  <c r="P641" i="1"/>
  <c r="P642" i="1"/>
  <c r="P277" i="1"/>
  <c r="P643" i="1"/>
  <c r="P644" i="1"/>
  <c r="P264" i="1"/>
  <c r="P645" i="1"/>
  <c r="P646" i="1"/>
  <c r="P140" i="1"/>
  <c r="P649" i="1"/>
  <c r="P650" i="1"/>
  <c r="P450" i="1"/>
  <c r="P260" i="1"/>
  <c r="P451" i="1"/>
  <c r="P452" i="1"/>
  <c r="P453" i="1"/>
  <c r="P462" i="1"/>
  <c r="P463" i="1"/>
  <c r="P266" i="1"/>
  <c r="P464" i="1"/>
  <c r="P465" i="1"/>
  <c r="P134" i="1"/>
  <c r="P135" i="1"/>
  <c r="P363" i="1"/>
  <c r="P364" i="1"/>
  <c r="P370" i="1"/>
  <c r="P128" i="1"/>
  <c r="P129" i="1"/>
  <c r="P72" i="1"/>
  <c r="P39" i="1"/>
  <c r="P651" i="1"/>
  <c r="P143" i="1"/>
  <c r="P717" i="1"/>
  <c r="P719" i="1"/>
  <c r="P142" i="1"/>
  <c r="P715" i="1"/>
  <c r="P658" i="1"/>
  <c r="P835" i="1"/>
  <c r="P659" i="1"/>
  <c r="P673" i="1"/>
  <c r="P660" i="1"/>
  <c r="P836" i="1"/>
  <c r="P825" i="1"/>
  <c r="P849" i="1"/>
  <c r="O242" i="1"/>
  <c r="O244" i="1"/>
  <c r="O22" i="1"/>
  <c r="O7" i="1"/>
  <c r="O172" i="1"/>
  <c r="O8" i="1"/>
  <c r="O10" i="1"/>
  <c r="O222" i="1"/>
  <c r="O14" i="1"/>
  <c r="O12" i="1"/>
  <c r="O228" i="1"/>
  <c r="O211" i="1"/>
  <c r="O229" i="1"/>
  <c r="O232" i="1"/>
  <c r="O233" i="1"/>
  <c r="O236" i="1"/>
  <c r="O139" i="1"/>
  <c r="O230" i="1"/>
  <c r="O234" i="1"/>
  <c r="O133" i="1"/>
  <c r="O173" i="1"/>
  <c r="O26" i="1"/>
  <c r="O245" i="1"/>
  <c r="O28" i="1"/>
  <c r="O351" i="1"/>
  <c r="O217" i="1"/>
  <c r="O216" i="1"/>
  <c r="O219" i="1"/>
  <c r="O369" i="1"/>
  <c r="O127" i="1"/>
  <c r="O71" i="1"/>
  <c r="O38" i="1"/>
  <c r="O243" i="1"/>
  <c r="O692" i="1"/>
  <c r="O130" i="1"/>
  <c r="O693" i="1"/>
  <c r="O42" i="1"/>
  <c r="O672" i="1"/>
  <c r="O43" i="1"/>
  <c r="O674" i="1"/>
  <c r="O694" i="1"/>
  <c r="O695" i="1"/>
  <c r="O696" i="1"/>
  <c r="O697" i="1"/>
  <c r="O698" i="1"/>
  <c r="O699" i="1"/>
  <c r="O700" i="1"/>
  <c r="O701" i="1"/>
  <c r="O702" i="1"/>
  <c r="O703" i="1"/>
  <c r="O704" i="1"/>
  <c r="O705" i="1"/>
  <c r="O706" i="1"/>
  <c r="O707" i="1"/>
  <c r="O708" i="1"/>
  <c r="O709" i="1"/>
  <c r="O710" i="1"/>
  <c r="O711" i="1"/>
  <c r="O713" i="1"/>
  <c r="O714" i="1"/>
  <c r="O661" i="1"/>
  <c r="O675" i="1"/>
  <c r="O662" i="1"/>
  <c r="O676" i="1"/>
  <c r="O716" i="1"/>
  <c r="O84" i="1"/>
  <c r="O837" i="1"/>
  <c r="O446" i="1"/>
  <c r="O13" i="1"/>
  <c r="O248" i="1"/>
  <c r="O447" i="1"/>
  <c r="O826" i="1"/>
  <c r="O448" i="1"/>
  <c r="O15" i="1"/>
  <c r="O249" i="1"/>
  <c r="O449" i="1"/>
  <c r="O827" i="1"/>
  <c r="O454" i="1"/>
  <c r="O223" i="1"/>
  <c r="O455" i="1"/>
  <c r="O828" i="1"/>
  <c r="O456" i="1"/>
  <c r="O212" i="1"/>
  <c r="O278" i="1"/>
  <c r="O457" i="1"/>
  <c r="O829" i="1"/>
  <c r="O458" i="1"/>
  <c r="O273" i="1"/>
  <c r="O459" i="1"/>
  <c r="O830" i="1"/>
  <c r="O460" i="1"/>
  <c r="O270" i="1"/>
  <c r="O461" i="1"/>
  <c r="O831" i="1"/>
  <c r="O224" i="1"/>
  <c r="O361" i="1"/>
  <c r="O27" i="1"/>
  <c r="O256" i="1"/>
  <c r="O362" i="1"/>
  <c r="O832" i="1"/>
  <c r="O365" i="1"/>
  <c r="O339" i="1"/>
  <c r="O268" i="1"/>
  <c r="O340" i="1"/>
  <c r="O341" i="1"/>
  <c r="O342" i="1"/>
  <c r="O343" i="1"/>
  <c r="O29" i="1"/>
  <c r="O257" i="1"/>
  <c r="O344" i="1"/>
  <c r="O345" i="1"/>
  <c r="O267" i="1"/>
  <c r="O346" i="1"/>
  <c r="O31" i="1"/>
  <c r="O30" i="1"/>
  <c r="O258" i="1"/>
  <c r="O347" i="1"/>
  <c r="O348" i="1"/>
  <c r="O269" i="1"/>
  <c r="O349" i="1"/>
  <c r="O350" i="1"/>
  <c r="O352" i="1"/>
  <c r="O366" i="1"/>
  <c r="O833" i="1"/>
  <c r="O367" i="1"/>
  <c r="O218" i="1"/>
  <c r="O279" i="1"/>
  <c r="O368" i="1"/>
  <c r="O834" i="1"/>
  <c r="O657" i="1"/>
  <c r="O648" i="1"/>
  <c r="O623" i="1"/>
  <c r="O23" i="1"/>
  <c r="O253" i="1"/>
  <c r="O624" i="1"/>
  <c r="O18" i="1"/>
  <c r="O625" i="1"/>
  <c r="O280" i="1"/>
  <c r="O626" i="1"/>
  <c r="O627" i="1"/>
  <c r="O263" i="1"/>
  <c r="O628" i="1"/>
  <c r="O629" i="1"/>
  <c r="O276" i="1"/>
  <c r="O630" i="1"/>
  <c r="O631" i="1"/>
  <c r="O632" i="1"/>
  <c r="O633" i="1"/>
  <c r="O272" i="1"/>
  <c r="O634" i="1"/>
  <c r="O635" i="1"/>
  <c r="O262" i="1"/>
  <c r="O636" i="1"/>
  <c r="O637" i="1"/>
  <c r="O274" i="1"/>
  <c r="O638" i="1"/>
  <c r="O639" i="1"/>
  <c r="O19" i="1"/>
  <c r="O251" i="1"/>
  <c r="O640" i="1"/>
  <c r="O254" i="1"/>
  <c r="O641" i="1"/>
  <c r="O642" i="1"/>
  <c r="O277" i="1"/>
  <c r="O643" i="1"/>
  <c r="O644" i="1"/>
  <c r="O264" i="1"/>
  <c r="O645" i="1"/>
  <c r="O646" i="1"/>
  <c r="O140" i="1"/>
  <c r="O649" i="1"/>
  <c r="O650" i="1"/>
  <c r="O450" i="1"/>
  <c r="O260" i="1"/>
  <c r="O451" i="1"/>
  <c r="O452" i="1"/>
  <c r="O453" i="1"/>
  <c r="O462" i="1"/>
  <c r="O463" i="1"/>
  <c r="O266" i="1"/>
  <c r="O464" i="1"/>
  <c r="O465" i="1"/>
  <c r="O134" i="1"/>
  <c r="O135" i="1"/>
  <c r="O363" i="1"/>
  <c r="O364" i="1"/>
  <c r="O370" i="1"/>
  <c r="O128" i="1"/>
  <c r="O129" i="1"/>
  <c r="O72" i="1"/>
  <c r="O39" i="1"/>
  <c r="O651" i="1"/>
  <c r="O143" i="1"/>
  <c r="O717" i="1"/>
  <c r="O719" i="1"/>
  <c r="O142" i="1"/>
  <c r="O715" i="1"/>
  <c r="O658" i="1"/>
  <c r="O835" i="1"/>
  <c r="O659" i="1"/>
  <c r="O673" i="1"/>
  <c r="O660" i="1"/>
  <c r="O836" i="1"/>
  <c r="O825" i="1"/>
  <c r="O849" i="1"/>
  <c r="N242" i="1"/>
  <c r="N244" i="1"/>
  <c r="N22" i="1"/>
  <c r="N7" i="1"/>
  <c r="N172" i="1"/>
  <c r="N8" i="1"/>
  <c r="N10" i="1"/>
  <c r="N222" i="1"/>
  <c r="N14" i="1"/>
  <c r="N12" i="1"/>
  <c r="N228" i="1"/>
  <c r="N211" i="1"/>
  <c r="N229" i="1"/>
  <c r="N232" i="1"/>
  <c r="N233" i="1"/>
  <c r="N236" i="1"/>
  <c r="N139" i="1"/>
  <c r="N230" i="1"/>
  <c r="N234" i="1"/>
  <c r="N133" i="1"/>
  <c r="N173" i="1"/>
  <c r="N26" i="1"/>
  <c r="N245" i="1"/>
  <c r="N28" i="1"/>
  <c r="N351" i="1"/>
  <c r="N217" i="1"/>
  <c r="N216" i="1"/>
  <c r="N219" i="1"/>
  <c r="N369" i="1"/>
  <c r="N127" i="1"/>
  <c r="N71" i="1"/>
  <c r="N38" i="1"/>
  <c r="N243" i="1"/>
  <c r="N692" i="1"/>
  <c r="N130" i="1"/>
  <c r="N693" i="1"/>
  <c r="N42" i="1"/>
  <c r="N672" i="1"/>
  <c r="N43" i="1"/>
  <c r="N674" i="1"/>
  <c r="N694" i="1"/>
  <c r="N695" i="1"/>
  <c r="N696" i="1"/>
  <c r="N697" i="1"/>
  <c r="N698" i="1"/>
  <c r="N699" i="1"/>
  <c r="N700" i="1"/>
  <c r="N701" i="1"/>
  <c r="N702" i="1"/>
  <c r="N703" i="1"/>
  <c r="N704" i="1"/>
  <c r="N705" i="1"/>
  <c r="N706" i="1"/>
  <c r="N707" i="1"/>
  <c r="N708" i="1"/>
  <c r="N709" i="1"/>
  <c r="N710" i="1"/>
  <c r="N711" i="1"/>
  <c r="N713" i="1"/>
  <c r="N714" i="1"/>
  <c r="N661" i="1"/>
  <c r="N675" i="1"/>
  <c r="N662" i="1"/>
  <c r="N676" i="1"/>
  <c r="N716" i="1"/>
  <c r="N84" i="1"/>
  <c r="N837" i="1"/>
  <c r="N446" i="1"/>
  <c r="N13" i="1"/>
  <c r="N248" i="1"/>
  <c r="N447" i="1"/>
  <c r="N826" i="1"/>
  <c r="N448" i="1"/>
  <c r="N15" i="1"/>
  <c r="N249" i="1"/>
  <c r="N449" i="1"/>
  <c r="N827" i="1"/>
  <c r="N454" i="1"/>
  <c r="N223" i="1"/>
  <c r="N455" i="1"/>
  <c r="N828" i="1"/>
  <c r="N456" i="1"/>
  <c r="N212" i="1"/>
  <c r="N278" i="1"/>
  <c r="N457" i="1"/>
  <c r="N829" i="1"/>
  <c r="N458" i="1"/>
  <c r="N273" i="1"/>
  <c r="N459" i="1"/>
  <c r="N830" i="1"/>
  <c r="N460" i="1"/>
  <c r="N270" i="1"/>
  <c r="N461" i="1"/>
  <c r="N831" i="1"/>
  <c r="N224" i="1"/>
  <c r="N361" i="1"/>
  <c r="N27" i="1"/>
  <c r="N256" i="1"/>
  <c r="N362" i="1"/>
  <c r="N832" i="1"/>
  <c r="N365" i="1"/>
  <c r="N339" i="1"/>
  <c r="N268" i="1"/>
  <c r="N340" i="1"/>
  <c r="N341" i="1"/>
  <c r="N342" i="1"/>
  <c r="N343" i="1"/>
  <c r="N29" i="1"/>
  <c r="N257" i="1"/>
  <c r="N344" i="1"/>
  <c r="N345" i="1"/>
  <c r="N267" i="1"/>
  <c r="N346" i="1"/>
  <c r="N31" i="1"/>
  <c r="N30" i="1"/>
  <c r="N258" i="1"/>
  <c r="N347" i="1"/>
  <c r="N348" i="1"/>
  <c r="N269" i="1"/>
  <c r="N349" i="1"/>
  <c r="N350" i="1"/>
  <c r="N352" i="1"/>
  <c r="N366" i="1"/>
  <c r="N833" i="1"/>
  <c r="N367" i="1"/>
  <c r="N218" i="1"/>
  <c r="N279" i="1"/>
  <c r="N368" i="1"/>
  <c r="N834" i="1"/>
  <c r="N657" i="1"/>
  <c r="N648" i="1"/>
  <c r="N623" i="1"/>
  <c r="N23" i="1"/>
  <c r="N253" i="1"/>
  <c r="N624" i="1"/>
  <c r="N18" i="1"/>
  <c r="N625" i="1"/>
  <c r="N280" i="1"/>
  <c r="N626" i="1"/>
  <c r="N627" i="1"/>
  <c r="N263" i="1"/>
  <c r="N628" i="1"/>
  <c r="N629" i="1"/>
  <c r="N276" i="1"/>
  <c r="N630" i="1"/>
  <c r="N631" i="1"/>
  <c r="N632" i="1"/>
  <c r="N633" i="1"/>
  <c r="N272" i="1"/>
  <c r="N634" i="1"/>
  <c r="N635" i="1"/>
  <c r="N262" i="1"/>
  <c r="N636" i="1"/>
  <c r="N637" i="1"/>
  <c r="N274" i="1"/>
  <c r="N638" i="1"/>
  <c r="N639" i="1"/>
  <c r="N19" i="1"/>
  <c r="N251" i="1"/>
  <c r="N640" i="1"/>
  <c r="N254" i="1"/>
  <c r="N641" i="1"/>
  <c r="N642" i="1"/>
  <c r="N277" i="1"/>
  <c r="N643" i="1"/>
  <c r="N644" i="1"/>
  <c r="N264" i="1"/>
  <c r="N645" i="1"/>
  <c r="N646" i="1"/>
  <c r="N140" i="1"/>
  <c r="N649" i="1"/>
  <c r="N650" i="1"/>
  <c r="N450" i="1"/>
  <c r="N260" i="1"/>
  <c r="N451" i="1"/>
  <c r="N452" i="1"/>
  <c r="N453" i="1"/>
  <c r="N462" i="1"/>
  <c r="N463" i="1"/>
  <c r="N266" i="1"/>
  <c r="N464" i="1"/>
  <c r="N465" i="1"/>
  <c r="N134" i="1"/>
  <c r="N135" i="1"/>
  <c r="N363" i="1"/>
  <c r="N364" i="1"/>
  <c r="N370" i="1"/>
  <c r="N128" i="1"/>
  <c r="N129" i="1"/>
  <c r="N72" i="1"/>
  <c r="N39" i="1"/>
  <c r="N651" i="1"/>
  <c r="N143" i="1"/>
  <c r="N717" i="1"/>
  <c r="N719" i="1"/>
  <c r="N142" i="1"/>
  <c r="N715" i="1"/>
  <c r="N658" i="1"/>
  <c r="N835" i="1"/>
  <c r="N659" i="1"/>
  <c r="N673" i="1"/>
  <c r="N660" i="1"/>
  <c r="N836" i="1"/>
  <c r="N825" i="1"/>
  <c r="N849" i="1"/>
  <c r="M242" i="1"/>
  <c r="M244" i="1"/>
  <c r="M22" i="1"/>
  <c r="M7" i="1"/>
  <c r="M172" i="1"/>
  <c r="M8" i="1"/>
  <c r="M10" i="1"/>
  <c r="M222" i="1"/>
  <c r="M14" i="1"/>
  <c r="M12" i="1"/>
  <c r="M228" i="1"/>
  <c r="M211" i="1"/>
  <c r="M229" i="1"/>
  <c r="M232" i="1"/>
  <c r="M233" i="1"/>
  <c r="M236" i="1"/>
  <c r="M139" i="1"/>
  <c r="M230" i="1"/>
  <c r="M234" i="1"/>
  <c r="M133" i="1"/>
  <c r="M173" i="1"/>
  <c r="M26" i="1"/>
  <c r="M245" i="1"/>
  <c r="M28" i="1"/>
  <c r="M351" i="1"/>
  <c r="M217" i="1"/>
  <c r="M216" i="1"/>
  <c r="M219" i="1"/>
  <c r="M369" i="1"/>
  <c r="M127" i="1"/>
  <c r="M71" i="1"/>
  <c r="M38" i="1"/>
  <c r="M243" i="1"/>
  <c r="M692" i="1"/>
  <c r="M130" i="1"/>
  <c r="M693" i="1"/>
  <c r="M42" i="1"/>
  <c r="M672" i="1"/>
  <c r="M43" i="1"/>
  <c r="M674" i="1"/>
  <c r="M694" i="1"/>
  <c r="M695" i="1"/>
  <c r="M696" i="1"/>
  <c r="M697" i="1"/>
  <c r="M698" i="1"/>
  <c r="M699" i="1"/>
  <c r="M700" i="1"/>
  <c r="M701" i="1"/>
  <c r="M702" i="1"/>
  <c r="M703" i="1"/>
  <c r="M704" i="1"/>
  <c r="M705" i="1"/>
  <c r="M706" i="1"/>
  <c r="M707" i="1"/>
  <c r="M708" i="1"/>
  <c r="M709" i="1"/>
  <c r="M710" i="1"/>
  <c r="M711" i="1"/>
  <c r="M713" i="1"/>
  <c r="M714" i="1"/>
  <c r="M661" i="1"/>
  <c r="M675" i="1"/>
  <c r="M662" i="1"/>
  <c r="M676" i="1"/>
  <c r="M716" i="1"/>
  <c r="M84" i="1"/>
  <c r="M837" i="1"/>
  <c r="M446" i="1"/>
  <c r="M13" i="1"/>
  <c r="M248" i="1"/>
  <c r="M447" i="1"/>
  <c r="M826" i="1"/>
  <c r="M448" i="1"/>
  <c r="M15" i="1"/>
  <c r="M249" i="1"/>
  <c r="M449" i="1"/>
  <c r="M827" i="1"/>
  <c r="M454" i="1"/>
  <c r="M223" i="1"/>
  <c r="M455" i="1"/>
  <c r="M828" i="1"/>
  <c r="M456" i="1"/>
  <c r="M212" i="1"/>
  <c r="M278" i="1"/>
  <c r="M457" i="1"/>
  <c r="M829" i="1"/>
  <c r="M458" i="1"/>
  <c r="M273" i="1"/>
  <c r="M459" i="1"/>
  <c r="M830" i="1"/>
  <c r="M460" i="1"/>
  <c r="M270" i="1"/>
  <c r="M461" i="1"/>
  <c r="M831" i="1"/>
  <c r="M224" i="1"/>
  <c r="M361" i="1"/>
  <c r="M27" i="1"/>
  <c r="M256" i="1"/>
  <c r="M362" i="1"/>
  <c r="M832" i="1"/>
  <c r="M365" i="1"/>
  <c r="M339" i="1"/>
  <c r="M268" i="1"/>
  <c r="M340" i="1"/>
  <c r="M341" i="1"/>
  <c r="M342" i="1"/>
  <c r="M343" i="1"/>
  <c r="M29" i="1"/>
  <c r="M257" i="1"/>
  <c r="M344" i="1"/>
  <c r="M345" i="1"/>
  <c r="M267" i="1"/>
  <c r="M346" i="1"/>
  <c r="M31" i="1"/>
  <c r="M30" i="1"/>
  <c r="M258" i="1"/>
  <c r="M347" i="1"/>
  <c r="M348" i="1"/>
  <c r="M269" i="1"/>
  <c r="M349" i="1"/>
  <c r="M350" i="1"/>
  <c r="M352" i="1"/>
  <c r="M366" i="1"/>
  <c r="M833" i="1"/>
  <c r="M367" i="1"/>
  <c r="M218" i="1"/>
  <c r="M279" i="1"/>
  <c r="M368" i="1"/>
  <c r="M834" i="1"/>
  <c r="M657" i="1"/>
  <c r="M648" i="1"/>
  <c r="M623" i="1"/>
  <c r="M23" i="1"/>
  <c r="M253" i="1"/>
  <c r="M624" i="1"/>
  <c r="M18" i="1"/>
  <c r="M625" i="1"/>
  <c r="M280" i="1"/>
  <c r="M626" i="1"/>
  <c r="M627" i="1"/>
  <c r="M263" i="1"/>
  <c r="M628" i="1"/>
  <c r="M629" i="1"/>
  <c r="M276" i="1"/>
  <c r="M630" i="1"/>
  <c r="M631" i="1"/>
  <c r="M632" i="1"/>
  <c r="M633" i="1"/>
  <c r="M272" i="1"/>
  <c r="M634" i="1"/>
  <c r="M635" i="1"/>
  <c r="M262" i="1"/>
  <c r="M636" i="1"/>
  <c r="M637" i="1"/>
  <c r="M274" i="1"/>
  <c r="M638" i="1"/>
  <c r="M639" i="1"/>
  <c r="M19" i="1"/>
  <c r="M251" i="1"/>
  <c r="M640" i="1"/>
  <c r="M254" i="1"/>
  <c r="M641" i="1"/>
  <c r="M642" i="1"/>
  <c r="M277" i="1"/>
  <c r="M643" i="1"/>
  <c r="M644" i="1"/>
  <c r="M264" i="1"/>
  <c r="M645" i="1"/>
  <c r="M646" i="1"/>
  <c r="M140" i="1"/>
  <c r="M649" i="1"/>
  <c r="M650" i="1"/>
  <c r="M450" i="1"/>
  <c r="M260" i="1"/>
  <c r="M451" i="1"/>
  <c r="M452" i="1"/>
  <c r="M453" i="1"/>
  <c r="M462" i="1"/>
  <c r="M463" i="1"/>
  <c r="M266" i="1"/>
  <c r="M464" i="1"/>
  <c r="M465" i="1"/>
  <c r="M134" i="1"/>
  <c r="M135" i="1"/>
  <c r="M363" i="1"/>
  <c r="M364" i="1"/>
  <c r="M370" i="1"/>
  <c r="M128" i="1"/>
  <c r="M129" i="1"/>
  <c r="M72" i="1"/>
  <c r="M39" i="1"/>
  <c r="M651" i="1"/>
  <c r="M143" i="1"/>
  <c r="M717" i="1"/>
  <c r="M719" i="1"/>
  <c r="M142" i="1"/>
  <c r="M715" i="1"/>
  <c r="M658" i="1"/>
  <c r="M835" i="1"/>
  <c r="M659" i="1"/>
  <c r="M673" i="1"/>
  <c r="M660" i="1"/>
  <c r="M836" i="1"/>
  <c r="M825" i="1"/>
  <c r="M849" i="1"/>
  <c r="L242" i="1"/>
  <c r="L244" i="1"/>
  <c r="L22" i="1"/>
  <c r="L7" i="1"/>
  <c r="L172" i="1"/>
  <c r="L8" i="1"/>
  <c r="L10" i="1"/>
  <c r="L222" i="1"/>
  <c r="L14" i="1"/>
  <c r="L12" i="1"/>
  <c r="L228" i="1"/>
  <c r="L211" i="1"/>
  <c r="L229" i="1"/>
  <c r="L232" i="1"/>
  <c r="L233" i="1"/>
  <c r="L236" i="1"/>
  <c r="L139" i="1"/>
  <c r="L230" i="1"/>
  <c r="L234" i="1"/>
  <c r="L133" i="1"/>
  <c r="L173" i="1"/>
  <c r="L26" i="1"/>
  <c r="L245" i="1"/>
  <c r="L28" i="1"/>
  <c r="L351" i="1"/>
  <c r="L217" i="1"/>
  <c r="L216" i="1"/>
  <c r="L219" i="1"/>
  <c r="L369" i="1"/>
  <c r="L127" i="1"/>
  <c r="L71" i="1"/>
  <c r="L38" i="1"/>
  <c r="L243" i="1"/>
  <c r="L692" i="1"/>
  <c r="L130" i="1"/>
  <c r="L693" i="1"/>
  <c r="L42" i="1"/>
  <c r="L672" i="1"/>
  <c r="L43" i="1"/>
  <c r="L674" i="1"/>
  <c r="L694" i="1"/>
  <c r="L695" i="1"/>
  <c r="L696" i="1"/>
  <c r="L697" i="1"/>
  <c r="L698" i="1"/>
  <c r="L699" i="1"/>
  <c r="L700" i="1"/>
  <c r="L701" i="1"/>
  <c r="L702" i="1"/>
  <c r="L703" i="1"/>
  <c r="L704" i="1"/>
  <c r="L705" i="1"/>
  <c r="L706" i="1"/>
  <c r="L707" i="1"/>
  <c r="L708" i="1"/>
  <c r="L709" i="1"/>
  <c r="L710" i="1"/>
  <c r="L711" i="1"/>
  <c r="L713" i="1"/>
  <c r="L714" i="1"/>
  <c r="L661" i="1"/>
  <c r="L675" i="1"/>
  <c r="L662" i="1"/>
  <c r="L676" i="1"/>
  <c r="L716" i="1"/>
  <c r="L84" i="1"/>
  <c r="L837" i="1"/>
  <c r="L446" i="1"/>
  <c r="L13" i="1"/>
  <c r="L248" i="1"/>
  <c r="L447" i="1"/>
  <c r="L826" i="1"/>
  <c r="L448" i="1"/>
  <c r="L15" i="1"/>
  <c r="L249" i="1"/>
  <c r="L449" i="1"/>
  <c r="L827" i="1"/>
  <c r="L454" i="1"/>
  <c r="L223" i="1"/>
  <c r="L455" i="1"/>
  <c r="L828" i="1"/>
  <c r="L456" i="1"/>
  <c r="L212" i="1"/>
  <c r="L278" i="1"/>
  <c r="L457" i="1"/>
  <c r="L829" i="1"/>
  <c r="L458" i="1"/>
  <c r="L273" i="1"/>
  <c r="L459" i="1"/>
  <c r="L830" i="1"/>
  <c r="L460" i="1"/>
  <c r="L270" i="1"/>
  <c r="L461" i="1"/>
  <c r="L831" i="1"/>
  <c r="L224" i="1"/>
  <c r="L361" i="1"/>
  <c r="L27" i="1"/>
  <c r="L256" i="1"/>
  <c r="L362" i="1"/>
  <c r="L832" i="1"/>
  <c r="L365" i="1"/>
  <c r="L339" i="1"/>
  <c r="L268" i="1"/>
  <c r="L340" i="1"/>
  <c r="L341" i="1"/>
  <c r="L342" i="1"/>
  <c r="L343" i="1"/>
  <c r="L29" i="1"/>
  <c r="L257" i="1"/>
  <c r="L344" i="1"/>
  <c r="L345" i="1"/>
  <c r="L267" i="1"/>
  <c r="L346" i="1"/>
  <c r="L31" i="1"/>
  <c r="L30" i="1"/>
  <c r="L258" i="1"/>
  <c r="L347" i="1"/>
  <c r="L348" i="1"/>
  <c r="L269" i="1"/>
  <c r="L349" i="1"/>
  <c r="L350" i="1"/>
  <c r="L352" i="1"/>
  <c r="L366" i="1"/>
  <c r="L833" i="1"/>
  <c r="L367" i="1"/>
  <c r="L218" i="1"/>
  <c r="L279" i="1"/>
  <c r="L368" i="1"/>
  <c r="L834" i="1"/>
  <c r="L657" i="1"/>
  <c r="L648" i="1"/>
  <c r="L623" i="1"/>
  <c r="L23" i="1"/>
  <c r="L253" i="1"/>
  <c r="L624" i="1"/>
  <c r="L18" i="1"/>
  <c r="L625" i="1"/>
  <c r="L280" i="1"/>
  <c r="L626" i="1"/>
  <c r="L627" i="1"/>
  <c r="L263" i="1"/>
  <c r="L628" i="1"/>
  <c r="L629" i="1"/>
  <c r="L276" i="1"/>
  <c r="L630" i="1"/>
  <c r="L631" i="1"/>
  <c r="L632" i="1"/>
  <c r="L633" i="1"/>
  <c r="L272" i="1"/>
  <c r="L634" i="1"/>
  <c r="L635" i="1"/>
  <c r="L262" i="1"/>
  <c r="L636" i="1"/>
  <c r="L637" i="1"/>
  <c r="L274" i="1"/>
  <c r="L638" i="1"/>
  <c r="L639" i="1"/>
  <c r="L19" i="1"/>
  <c r="L251" i="1"/>
  <c r="L640" i="1"/>
  <c r="L254" i="1"/>
  <c r="L641" i="1"/>
  <c r="L642" i="1"/>
  <c r="L277" i="1"/>
  <c r="L643" i="1"/>
  <c r="L644" i="1"/>
  <c r="L264" i="1"/>
  <c r="L645" i="1"/>
  <c r="L646" i="1"/>
  <c r="L140" i="1"/>
  <c r="L649" i="1"/>
  <c r="L650" i="1"/>
  <c r="L450" i="1"/>
  <c r="L260" i="1"/>
  <c r="L451" i="1"/>
  <c r="L452" i="1"/>
  <c r="L453" i="1"/>
  <c r="L462" i="1"/>
  <c r="L463" i="1"/>
  <c r="L266" i="1"/>
  <c r="L464" i="1"/>
  <c r="L465" i="1"/>
  <c r="L134" i="1"/>
  <c r="L135" i="1"/>
  <c r="L363" i="1"/>
  <c r="L364" i="1"/>
  <c r="L370" i="1"/>
  <c r="L128" i="1"/>
  <c r="L129" i="1"/>
  <c r="L72" i="1"/>
  <c r="L39" i="1"/>
  <c r="L651" i="1"/>
  <c r="L143" i="1"/>
  <c r="L717" i="1"/>
  <c r="L719" i="1"/>
  <c r="L142" i="1"/>
  <c r="L715" i="1"/>
  <c r="L658" i="1"/>
  <c r="L835" i="1"/>
  <c r="L659" i="1"/>
  <c r="L673" i="1"/>
  <c r="L660" i="1"/>
  <c r="L836" i="1"/>
  <c r="L825" i="1"/>
  <c r="L849" i="1"/>
  <c r="K242" i="1"/>
  <c r="K244" i="1"/>
  <c r="K22" i="1"/>
  <c r="K7" i="1"/>
  <c r="K172" i="1"/>
  <c r="K8" i="1"/>
  <c r="K10" i="1"/>
  <c r="K222" i="1"/>
  <c r="K14" i="1"/>
  <c r="K12" i="1"/>
  <c r="K228" i="1"/>
  <c r="K211" i="1"/>
  <c r="K229" i="1"/>
  <c r="K232" i="1"/>
  <c r="K233" i="1"/>
  <c r="K236" i="1"/>
  <c r="K139" i="1"/>
  <c r="K230" i="1"/>
  <c r="K234" i="1"/>
  <c r="K133" i="1"/>
  <c r="K173" i="1"/>
  <c r="K26" i="1"/>
  <c r="K245" i="1"/>
  <c r="K28" i="1"/>
  <c r="K351" i="1"/>
  <c r="K217" i="1"/>
  <c r="K216" i="1"/>
  <c r="K219" i="1"/>
  <c r="K369" i="1"/>
  <c r="K127" i="1"/>
  <c r="K71" i="1"/>
  <c r="K38" i="1"/>
  <c r="K243" i="1"/>
  <c r="K692" i="1"/>
  <c r="K130" i="1"/>
  <c r="K693" i="1"/>
  <c r="K42" i="1"/>
  <c r="K672" i="1"/>
  <c r="K43" i="1"/>
  <c r="K674" i="1"/>
  <c r="K694" i="1"/>
  <c r="K695" i="1"/>
  <c r="K696" i="1"/>
  <c r="K697" i="1"/>
  <c r="K698" i="1"/>
  <c r="K699" i="1"/>
  <c r="K700" i="1"/>
  <c r="K701" i="1"/>
  <c r="K702" i="1"/>
  <c r="K703" i="1"/>
  <c r="K704" i="1"/>
  <c r="K705" i="1"/>
  <c r="K706" i="1"/>
  <c r="K707" i="1"/>
  <c r="K708" i="1"/>
  <c r="K709" i="1"/>
  <c r="K710" i="1"/>
  <c r="K711" i="1"/>
  <c r="K713" i="1"/>
  <c r="K714" i="1"/>
  <c r="K661" i="1"/>
  <c r="K675" i="1"/>
  <c r="K662" i="1"/>
  <c r="K676" i="1"/>
  <c r="K716" i="1"/>
  <c r="K84" i="1"/>
  <c r="K837" i="1"/>
  <c r="K446" i="1"/>
  <c r="K13" i="1"/>
  <c r="K248" i="1"/>
  <c r="K447" i="1"/>
  <c r="K826" i="1"/>
  <c r="K448" i="1"/>
  <c r="K15" i="1"/>
  <c r="K249" i="1"/>
  <c r="K449" i="1"/>
  <c r="K827" i="1"/>
  <c r="K454" i="1"/>
  <c r="K223" i="1"/>
  <c r="K455" i="1"/>
  <c r="K828" i="1"/>
  <c r="K456" i="1"/>
  <c r="K212" i="1"/>
  <c r="K278" i="1"/>
  <c r="K457" i="1"/>
  <c r="K829" i="1"/>
  <c r="K458" i="1"/>
  <c r="K273" i="1"/>
  <c r="K459" i="1"/>
  <c r="K830" i="1"/>
  <c r="K460" i="1"/>
  <c r="K270" i="1"/>
  <c r="K461" i="1"/>
  <c r="K831" i="1"/>
  <c r="K224" i="1"/>
  <c r="K361" i="1"/>
  <c r="K27" i="1"/>
  <c r="K256" i="1"/>
  <c r="K362" i="1"/>
  <c r="K832" i="1"/>
  <c r="K365" i="1"/>
  <c r="K339" i="1"/>
  <c r="K268" i="1"/>
  <c r="K340" i="1"/>
  <c r="K341" i="1"/>
  <c r="K342" i="1"/>
  <c r="K343" i="1"/>
  <c r="K29" i="1"/>
  <c r="K257" i="1"/>
  <c r="K344" i="1"/>
  <c r="K345" i="1"/>
  <c r="K267" i="1"/>
  <c r="K346" i="1"/>
  <c r="K31" i="1"/>
  <c r="K30" i="1"/>
  <c r="K258" i="1"/>
  <c r="K347" i="1"/>
  <c r="K348" i="1"/>
  <c r="K269" i="1"/>
  <c r="K349" i="1"/>
  <c r="K350" i="1"/>
  <c r="K352" i="1"/>
  <c r="K366" i="1"/>
  <c r="K833" i="1"/>
  <c r="K367" i="1"/>
  <c r="K218" i="1"/>
  <c r="K279" i="1"/>
  <c r="K368" i="1"/>
  <c r="K834" i="1"/>
  <c r="K657" i="1"/>
  <c r="K648" i="1"/>
  <c r="K623" i="1"/>
  <c r="K23" i="1"/>
  <c r="K253" i="1"/>
  <c r="K624" i="1"/>
  <c r="K18" i="1"/>
  <c r="K625" i="1"/>
  <c r="K280" i="1"/>
  <c r="K626" i="1"/>
  <c r="K627" i="1"/>
  <c r="K263" i="1"/>
  <c r="K628" i="1"/>
  <c r="K629" i="1"/>
  <c r="K276" i="1"/>
  <c r="K630" i="1"/>
  <c r="K631" i="1"/>
  <c r="K632" i="1"/>
  <c r="K633" i="1"/>
  <c r="K272" i="1"/>
  <c r="K634" i="1"/>
  <c r="K635" i="1"/>
  <c r="K262" i="1"/>
  <c r="K636" i="1"/>
  <c r="K637" i="1"/>
  <c r="K274" i="1"/>
  <c r="K638" i="1"/>
  <c r="K639" i="1"/>
  <c r="K19" i="1"/>
  <c r="K251" i="1"/>
  <c r="K640" i="1"/>
  <c r="K254" i="1"/>
  <c r="K641" i="1"/>
  <c r="K642" i="1"/>
  <c r="K277" i="1"/>
  <c r="K643" i="1"/>
  <c r="K644" i="1"/>
  <c r="K264" i="1"/>
  <c r="K645" i="1"/>
  <c r="K646" i="1"/>
  <c r="K140" i="1"/>
  <c r="K649" i="1"/>
  <c r="K650" i="1"/>
  <c r="K450" i="1"/>
  <c r="K260" i="1"/>
  <c r="K451" i="1"/>
  <c r="K452" i="1"/>
  <c r="K453" i="1"/>
  <c r="K462" i="1"/>
  <c r="K463" i="1"/>
  <c r="K266" i="1"/>
  <c r="K464" i="1"/>
  <c r="K465" i="1"/>
  <c r="K134" i="1"/>
  <c r="K135" i="1"/>
  <c r="K363" i="1"/>
  <c r="K364" i="1"/>
  <c r="K370" i="1"/>
  <c r="K128" i="1"/>
  <c r="K129" i="1"/>
  <c r="K72" i="1"/>
  <c r="K39" i="1"/>
  <c r="K651" i="1"/>
  <c r="K143" i="1"/>
  <c r="K717" i="1"/>
  <c r="K719" i="1"/>
  <c r="K142" i="1"/>
  <c r="K715" i="1"/>
  <c r="K658" i="1"/>
  <c r="K835" i="1"/>
  <c r="K659" i="1"/>
  <c r="K673" i="1"/>
  <c r="K660" i="1"/>
  <c r="K836" i="1"/>
  <c r="K825" i="1"/>
  <c r="K849" i="1"/>
  <c r="J242" i="1"/>
  <c r="J244" i="1"/>
  <c r="J22" i="1"/>
  <c r="J7" i="1"/>
  <c r="J172" i="1"/>
  <c r="J8" i="1"/>
  <c r="J10" i="1"/>
  <c r="J222" i="1"/>
  <c r="J14" i="1"/>
  <c r="J12" i="1"/>
  <c r="J228" i="1"/>
  <c r="J211" i="1"/>
  <c r="J229" i="1"/>
  <c r="J232" i="1"/>
  <c r="J233" i="1"/>
  <c r="J236" i="1"/>
  <c r="J139" i="1"/>
  <c r="J230" i="1"/>
  <c r="J234" i="1"/>
  <c r="J133" i="1"/>
  <c r="J173" i="1"/>
  <c r="J26" i="1"/>
  <c r="J245" i="1"/>
  <c r="J28" i="1"/>
  <c r="J351" i="1"/>
  <c r="J217" i="1"/>
  <c r="J216" i="1"/>
  <c r="J219" i="1"/>
  <c r="J369" i="1"/>
  <c r="J127" i="1"/>
  <c r="J71" i="1"/>
  <c r="J38" i="1"/>
  <c r="J243" i="1"/>
  <c r="J692" i="1"/>
  <c r="J130" i="1"/>
  <c r="J693" i="1"/>
  <c r="J42" i="1"/>
  <c r="J672" i="1"/>
  <c r="J43" i="1"/>
  <c r="J674" i="1"/>
  <c r="J694" i="1"/>
  <c r="J695" i="1"/>
  <c r="J696" i="1"/>
  <c r="J697" i="1"/>
  <c r="J698" i="1"/>
  <c r="J699" i="1"/>
  <c r="J700" i="1"/>
  <c r="J701" i="1"/>
  <c r="J702" i="1"/>
  <c r="J703" i="1"/>
  <c r="J704" i="1"/>
  <c r="J705" i="1"/>
  <c r="J706" i="1"/>
  <c r="J707" i="1"/>
  <c r="J708" i="1"/>
  <c r="J709" i="1"/>
  <c r="J710" i="1"/>
  <c r="J711" i="1"/>
  <c r="J713" i="1"/>
  <c r="J714" i="1"/>
  <c r="J661" i="1"/>
  <c r="J675" i="1"/>
  <c r="J662" i="1"/>
  <c r="J676" i="1"/>
  <c r="J716" i="1"/>
  <c r="J84" i="1"/>
  <c r="J837" i="1"/>
  <c r="J446" i="1"/>
  <c r="J13" i="1"/>
  <c r="J248" i="1"/>
  <c r="J447" i="1"/>
  <c r="J826" i="1"/>
  <c r="J448" i="1"/>
  <c r="J15" i="1"/>
  <c r="J249" i="1"/>
  <c r="J449" i="1"/>
  <c r="J827" i="1"/>
  <c r="J454" i="1"/>
  <c r="J223" i="1"/>
  <c r="J455" i="1"/>
  <c r="J828" i="1"/>
  <c r="J456" i="1"/>
  <c r="J212" i="1"/>
  <c r="J278" i="1"/>
  <c r="J457" i="1"/>
  <c r="J829" i="1"/>
  <c r="J458" i="1"/>
  <c r="J273" i="1"/>
  <c r="J459" i="1"/>
  <c r="J830" i="1"/>
  <c r="J460" i="1"/>
  <c r="J270" i="1"/>
  <c r="J461" i="1"/>
  <c r="J831" i="1"/>
  <c r="J224" i="1"/>
  <c r="J361" i="1"/>
  <c r="J27" i="1"/>
  <c r="J256" i="1"/>
  <c r="J362" i="1"/>
  <c r="J832" i="1"/>
  <c r="J365" i="1"/>
  <c r="J339" i="1"/>
  <c r="J268" i="1"/>
  <c r="J340" i="1"/>
  <c r="J341" i="1"/>
  <c r="J342" i="1"/>
  <c r="J343" i="1"/>
  <c r="J29" i="1"/>
  <c r="J257" i="1"/>
  <c r="J344" i="1"/>
  <c r="J345" i="1"/>
  <c r="J267" i="1"/>
  <c r="J346" i="1"/>
  <c r="J31" i="1"/>
  <c r="J30" i="1"/>
  <c r="J258" i="1"/>
  <c r="J347" i="1"/>
  <c r="J348" i="1"/>
  <c r="J269" i="1"/>
  <c r="J349" i="1"/>
  <c r="J350" i="1"/>
  <c r="J352" i="1"/>
  <c r="J366" i="1"/>
  <c r="J833" i="1"/>
  <c r="J367" i="1"/>
  <c r="J218" i="1"/>
  <c r="J279" i="1"/>
  <c r="J368" i="1"/>
  <c r="J834" i="1"/>
  <c r="J657" i="1"/>
  <c r="J648" i="1"/>
  <c r="J623" i="1"/>
  <c r="J23" i="1"/>
  <c r="J253" i="1"/>
  <c r="J624" i="1"/>
  <c r="J18" i="1"/>
  <c r="J625" i="1"/>
  <c r="J280" i="1"/>
  <c r="J626" i="1"/>
  <c r="J627" i="1"/>
  <c r="J263" i="1"/>
  <c r="J628" i="1"/>
  <c r="J629" i="1"/>
  <c r="J276" i="1"/>
  <c r="J630" i="1"/>
  <c r="J631" i="1"/>
  <c r="J632" i="1"/>
  <c r="J633" i="1"/>
  <c r="J272" i="1"/>
  <c r="J634" i="1"/>
  <c r="J635" i="1"/>
  <c r="J262" i="1"/>
  <c r="J636" i="1"/>
  <c r="J637" i="1"/>
  <c r="J274" i="1"/>
  <c r="J638" i="1"/>
  <c r="J639" i="1"/>
  <c r="J19" i="1"/>
  <c r="J251" i="1"/>
  <c r="J640" i="1"/>
  <c r="J254" i="1"/>
  <c r="J641" i="1"/>
  <c r="J642" i="1"/>
  <c r="J277" i="1"/>
  <c r="J643" i="1"/>
  <c r="J644" i="1"/>
  <c r="J264" i="1"/>
  <c r="J645" i="1"/>
  <c r="J646" i="1"/>
  <c r="J140" i="1"/>
  <c r="J649" i="1"/>
  <c r="J650" i="1"/>
  <c r="J450" i="1"/>
  <c r="J260" i="1"/>
  <c r="J451" i="1"/>
  <c r="J452" i="1"/>
  <c r="J453" i="1"/>
  <c r="J462" i="1"/>
  <c r="J463" i="1"/>
  <c r="J266" i="1"/>
  <c r="J464" i="1"/>
  <c r="J465" i="1"/>
  <c r="J134" i="1"/>
  <c r="J135" i="1"/>
  <c r="J363" i="1"/>
  <c r="J364" i="1"/>
  <c r="J370" i="1"/>
  <c r="J128" i="1"/>
  <c r="J129" i="1"/>
  <c r="J72" i="1"/>
  <c r="J39" i="1"/>
  <c r="J651" i="1"/>
  <c r="J143" i="1"/>
  <c r="J717" i="1"/>
  <c r="J719" i="1"/>
  <c r="J142" i="1"/>
  <c r="J715" i="1"/>
  <c r="J658" i="1"/>
  <c r="J835" i="1"/>
  <c r="J659" i="1"/>
  <c r="J673" i="1"/>
  <c r="J660" i="1"/>
  <c r="J836" i="1"/>
  <c r="J825" i="1"/>
  <c r="J849" i="1"/>
  <c r="I242" i="1"/>
  <c r="I244" i="1"/>
  <c r="I22" i="1"/>
  <c r="I7" i="1"/>
  <c r="I172" i="1"/>
  <c r="I8" i="1"/>
  <c r="I10" i="1"/>
  <c r="I222" i="1"/>
  <c r="I14" i="1"/>
  <c r="I12" i="1"/>
  <c r="I228" i="1"/>
  <c r="I211" i="1"/>
  <c r="I229" i="1"/>
  <c r="I232" i="1"/>
  <c r="I233" i="1"/>
  <c r="I236" i="1"/>
  <c r="I139" i="1"/>
  <c r="I230" i="1"/>
  <c r="I234" i="1"/>
  <c r="I133" i="1"/>
  <c r="I173" i="1"/>
  <c r="I26" i="1"/>
  <c r="I245" i="1"/>
  <c r="I28" i="1"/>
  <c r="I351" i="1"/>
  <c r="I217" i="1"/>
  <c r="I216" i="1"/>
  <c r="I219" i="1"/>
  <c r="I369" i="1"/>
  <c r="I127" i="1"/>
  <c r="I71" i="1"/>
  <c r="I38" i="1"/>
  <c r="I243" i="1"/>
  <c r="I692" i="1"/>
  <c r="I130" i="1"/>
  <c r="I693" i="1"/>
  <c r="I42" i="1"/>
  <c r="I672" i="1"/>
  <c r="I43" i="1"/>
  <c r="I674" i="1"/>
  <c r="I694" i="1"/>
  <c r="I695" i="1"/>
  <c r="I696" i="1"/>
  <c r="I697" i="1"/>
  <c r="I698" i="1"/>
  <c r="I699" i="1"/>
  <c r="I700" i="1"/>
  <c r="I701" i="1"/>
  <c r="I702" i="1"/>
  <c r="I703" i="1"/>
  <c r="I704" i="1"/>
  <c r="I705" i="1"/>
  <c r="I706" i="1"/>
  <c r="I707" i="1"/>
  <c r="I708" i="1"/>
  <c r="I709" i="1"/>
  <c r="I710" i="1"/>
  <c r="I711" i="1"/>
  <c r="I713" i="1"/>
  <c r="I714" i="1"/>
  <c r="I661" i="1"/>
  <c r="I675" i="1"/>
  <c r="I662" i="1"/>
  <c r="I676" i="1"/>
  <c r="I716" i="1"/>
  <c r="I84" i="1"/>
  <c r="I837" i="1"/>
  <c r="I446" i="1"/>
  <c r="I13" i="1"/>
  <c r="I248" i="1"/>
  <c r="I447" i="1"/>
  <c r="I826" i="1"/>
  <c r="I448" i="1"/>
  <c r="I15" i="1"/>
  <c r="I249" i="1"/>
  <c r="I449" i="1"/>
  <c r="I827" i="1"/>
  <c r="I454" i="1"/>
  <c r="I223" i="1"/>
  <c r="I455" i="1"/>
  <c r="I828" i="1"/>
  <c r="I456" i="1"/>
  <c r="I212" i="1"/>
  <c r="I278" i="1"/>
  <c r="I457" i="1"/>
  <c r="I829" i="1"/>
  <c r="I458" i="1"/>
  <c r="I273" i="1"/>
  <c r="I459" i="1"/>
  <c r="I830" i="1"/>
  <c r="I460" i="1"/>
  <c r="I270" i="1"/>
  <c r="I461" i="1"/>
  <c r="I831" i="1"/>
  <c r="I224" i="1"/>
  <c r="I361" i="1"/>
  <c r="I27" i="1"/>
  <c r="I256" i="1"/>
  <c r="I362" i="1"/>
  <c r="I832" i="1"/>
  <c r="I365" i="1"/>
  <c r="I339" i="1"/>
  <c r="I268" i="1"/>
  <c r="I340" i="1"/>
  <c r="I341" i="1"/>
  <c r="I342" i="1"/>
  <c r="I343" i="1"/>
  <c r="I29" i="1"/>
  <c r="I257" i="1"/>
  <c r="I344" i="1"/>
  <c r="I345" i="1"/>
  <c r="I267" i="1"/>
  <c r="I346" i="1"/>
  <c r="I31" i="1"/>
  <c r="I30" i="1"/>
  <c r="I258" i="1"/>
  <c r="I347" i="1"/>
  <c r="I348" i="1"/>
  <c r="I269" i="1"/>
  <c r="I349" i="1"/>
  <c r="I350" i="1"/>
  <c r="I352" i="1"/>
  <c r="I366" i="1"/>
  <c r="I833" i="1"/>
  <c r="I367" i="1"/>
  <c r="I218" i="1"/>
  <c r="I279" i="1"/>
  <c r="I368" i="1"/>
  <c r="I834" i="1"/>
  <c r="I657" i="1"/>
  <c r="I648" i="1"/>
  <c r="I623" i="1"/>
  <c r="I23" i="1"/>
  <c r="I253" i="1"/>
  <c r="I624" i="1"/>
  <c r="I18" i="1"/>
  <c r="I625" i="1"/>
  <c r="I280" i="1"/>
  <c r="I626" i="1"/>
  <c r="I627" i="1"/>
  <c r="I263" i="1"/>
  <c r="I628" i="1"/>
  <c r="I629" i="1"/>
  <c r="I276" i="1"/>
  <c r="I630" i="1"/>
  <c r="I631" i="1"/>
  <c r="I632" i="1"/>
  <c r="I633" i="1"/>
  <c r="I272" i="1"/>
  <c r="I634" i="1"/>
  <c r="I635" i="1"/>
  <c r="I262" i="1"/>
  <c r="I636" i="1"/>
  <c r="I637" i="1"/>
  <c r="I274" i="1"/>
  <c r="I638" i="1"/>
  <c r="I639" i="1"/>
  <c r="I19" i="1"/>
  <c r="I251" i="1"/>
  <c r="I640" i="1"/>
  <c r="I254" i="1"/>
  <c r="I641" i="1"/>
  <c r="I642" i="1"/>
  <c r="I277" i="1"/>
  <c r="I643" i="1"/>
  <c r="I644" i="1"/>
  <c r="I264" i="1"/>
  <c r="I645" i="1"/>
  <c r="I646" i="1"/>
  <c r="I140" i="1"/>
  <c r="I649" i="1"/>
  <c r="I650" i="1"/>
  <c r="I450" i="1"/>
  <c r="I260" i="1"/>
  <c r="I451" i="1"/>
  <c r="I452" i="1"/>
  <c r="I453" i="1"/>
  <c r="I462" i="1"/>
  <c r="I463" i="1"/>
  <c r="I266" i="1"/>
  <c r="I464" i="1"/>
  <c r="I465" i="1"/>
  <c r="I134" i="1"/>
  <c r="I135" i="1"/>
  <c r="I363" i="1"/>
  <c r="I364" i="1"/>
  <c r="I370" i="1"/>
  <c r="I128" i="1"/>
  <c r="I129" i="1"/>
  <c r="I72" i="1"/>
  <c r="I39" i="1"/>
  <c r="I651" i="1"/>
  <c r="I143" i="1"/>
  <c r="I717" i="1"/>
  <c r="I719" i="1"/>
  <c r="I142" i="1"/>
  <c r="I715" i="1"/>
  <c r="I658" i="1"/>
  <c r="I835" i="1"/>
  <c r="I659" i="1"/>
  <c r="I673" i="1"/>
  <c r="I660" i="1"/>
  <c r="I836" i="1"/>
  <c r="I825" i="1"/>
  <c r="I849" i="1"/>
  <c r="H242" i="1"/>
  <c r="H244" i="1"/>
  <c r="H22" i="1"/>
  <c r="H7" i="1"/>
  <c r="H172" i="1"/>
  <c r="H8" i="1"/>
  <c r="H10" i="1"/>
  <c r="H222" i="1"/>
  <c r="H14" i="1"/>
  <c r="H12" i="1"/>
  <c r="H228" i="1"/>
  <c r="H211" i="1"/>
  <c r="H229" i="1"/>
  <c r="H232" i="1"/>
  <c r="H233" i="1"/>
  <c r="H236" i="1"/>
  <c r="H139" i="1"/>
  <c r="H230" i="1"/>
  <c r="H234" i="1"/>
  <c r="H133" i="1"/>
  <c r="H173" i="1"/>
  <c r="H26" i="1"/>
  <c r="H245" i="1"/>
  <c r="H28" i="1"/>
  <c r="H351" i="1"/>
  <c r="H217" i="1"/>
  <c r="H216" i="1"/>
  <c r="H219" i="1"/>
  <c r="H369" i="1"/>
  <c r="H127" i="1"/>
  <c r="H71" i="1"/>
  <c r="H38" i="1"/>
  <c r="H243" i="1"/>
  <c r="H692" i="1"/>
  <c r="H130" i="1"/>
  <c r="H693" i="1"/>
  <c r="H42" i="1"/>
  <c r="H672" i="1"/>
  <c r="H43" i="1"/>
  <c r="H674" i="1"/>
  <c r="H694" i="1"/>
  <c r="H695" i="1"/>
  <c r="H696" i="1"/>
  <c r="H697" i="1"/>
  <c r="H698" i="1"/>
  <c r="H699" i="1"/>
  <c r="H700" i="1"/>
  <c r="H701" i="1"/>
  <c r="H702" i="1"/>
  <c r="H703" i="1"/>
  <c r="H704" i="1"/>
  <c r="H705" i="1"/>
  <c r="H706" i="1"/>
  <c r="H707" i="1"/>
  <c r="H708" i="1"/>
  <c r="H709" i="1"/>
  <c r="H710" i="1"/>
  <c r="H711" i="1"/>
  <c r="H713" i="1"/>
  <c r="H714" i="1"/>
  <c r="H661" i="1"/>
  <c r="H675" i="1"/>
  <c r="H662" i="1"/>
  <c r="H676" i="1"/>
  <c r="H716" i="1"/>
  <c r="H84" i="1"/>
  <c r="H837" i="1"/>
  <c r="H446" i="1"/>
  <c r="H13" i="1"/>
  <c r="H248" i="1"/>
  <c r="H447" i="1"/>
  <c r="H826" i="1"/>
  <c r="H448" i="1"/>
  <c r="H15" i="1"/>
  <c r="H249" i="1"/>
  <c r="H449" i="1"/>
  <c r="H827" i="1"/>
  <c r="H454" i="1"/>
  <c r="H223" i="1"/>
  <c r="H455" i="1"/>
  <c r="H828" i="1"/>
  <c r="H456" i="1"/>
  <c r="H212" i="1"/>
  <c r="H278" i="1"/>
  <c r="H457" i="1"/>
  <c r="H829" i="1"/>
  <c r="H458" i="1"/>
  <c r="H273" i="1"/>
  <c r="H459" i="1"/>
  <c r="H830" i="1"/>
  <c r="H460" i="1"/>
  <c r="H270" i="1"/>
  <c r="H461" i="1"/>
  <c r="H831" i="1"/>
  <c r="H224" i="1"/>
  <c r="H361" i="1"/>
  <c r="H27" i="1"/>
  <c r="H256" i="1"/>
  <c r="H362" i="1"/>
  <c r="H832" i="1"/>
  <c r="H365" i="1"/>
  <c r="H339" i="1"/>
  <c r="H268" i="1"/>
  <c r="H340" i="1"/>
  <c r="H341" i="1"/>
  <c r="H342" i="1"/>
  <c r="H343" i="1"/>
  <c r="H29" i="1"/>
  <c r="H257" i="1"/>
  <c r="H344" i="1"/>
  <c r="H345" i="1"/>
  <c r="H267" i="1"/>
  <c r="H346" i="1"/>
  <c r="H31" i="1"/>
  <c r="H30" i="1"/>
  <c r="H258" i="1"/>
  <c r="H347" i="1"/>
  <c r="H348" i="1"/>
  <c r="H269" i="1"/>
  <c r="H349" i="1"/>
  <c r="H350" i="1"/>
  <c r="H352" i="1"/>
  <c r="H366" i="1"/>
  <c r="H833" i="1"/>
  <c r="H367" i="1"/>
  <c r="H218" i="1"/>
  <c r="H279" i="1"/>
  <c r="H368" i="1"/>
  <c r="H834" i="1"/>
  <c r="H657" i="1"/>
  <c r="H648" i="1"/>
  <c r="H623" i="1"/>
  <c r="H23" i="1"/>
  <c r="H253" i="1"/>
  <c r="H624" i="1"/>
  <c r="H18" i="1"/>
  <c r="H625" i="1"/>
  <c r="H280" i="1"/>
  <c r="H626" i="1"/>
  <c r="H627" i="1"/>
  <c r="H263" i="1"/>
  <c r="H628" i="1"/>
  <c r="H629" i="1"/>
  <c r="H276" i="1"/>
  <c r="H630" i="1"/>
  <c r="H631" i="1"/>
  <c r="H632" i="1"/>
  <c r="H633" i="1"/>
  <c r="H272" i="1"/>
  <c r="H634" i="1"/>
  <c r="H635" i="1"/>
  <c r="H262" i="1"/>
  <c r="H636" i="1"/>
  <c r="H637" i="1"/>
  <c r="H274" i="1"/>
  <c r="H638" i="1"/>
  <c r="H639" i="1"/>
  <c r="H19" i="1"/>
  <c r="H251" i="1"/>
  <c r="H640" i="1"/>
  <c r="H254" i="1"/>
  <c r="H641" i="1"/>
  <c r="H642" i="1"/>
  <c r="H277" i="1"/>
  <c r="H643" i="1"/>
  <c r="H644" i="1"/>
  <c r="H264" i="1"/>
  <c r="H645" i="1"/>
  <c r="H646" i="1"/>
  <c r="H140" i="1"/>
  <c r="H649" i="1"/>
  <c r="H650" i="1"/>
  <c r="H450" i="1"/>
  <c r="H260" i="1"/>
  <c r="H451" i="1"/>
  <c r="H452" i="1"/>
  <c r="H453" i="1"/>
  <c r="H462" i="1"/>
  <c r="H463" i="1"/>
  <c r="H266" i="1"/>
  <c r="H464" i="1"/>
  <c r="H465" i="1"/>
  <c r="H134" i="1"/>
  <c r="H135" i="1"/>
  <c r="H363" i="1"/>
  <c r="H364" i="1"/>
  <c r="H370" i="1"/>
  <c r="H128" i="1"/>
  <c r="H129" i="1"/>
  <c r="H72" i="1"/>
  <c r="H39" i="1"/>
  <c r="H651" i="1"/>
  <c r="H143" i="1"/>
  <c r="H717" i="1"/>
  <c r="H719" i="1"/>
  <c r="H142" i="1"/>
  <c r="H715" i="1"/>
  <c r="H658" i="1"/>
  <c r="H835" i="1"/>
  <c r="H659" i="1"/>
  <c r="H673" i="1"/>
  <c r="H660" i="1"/>
  <c r="H836" i="1"/>
  <c r="H825" i="1"/>
  <c r="H849" i="1"/>
  <c r="G242" i="1"/>
  <c r="G244" i="1"/>
  <c r="G22" i="1"/>
  <c r="G7" i="1"/>
  <c r="G172" i="1"/>
  <c r="G8" i="1"/>
  <c r="G10" i="1"/>
  <c r="G222" i="1"/>
  <c r="G14" i="1"/>
  <c r="G12" i="1"/>
  <c r="G228" i="1"/>
  <c r="G211" i="1"/>
  <c r="G229" i="1"/>
  <c r="G232" i="1"/>
  <c r="G233" i="1"/>
  <c r="G236" i="1"/>
  <c r="G139" i="1"/>
  <c r="G230" i="1"/>
  <c r="G234" i="1"/>
  <c r="G133" i="1"/>
  <c r="G173" i="1"/>
  <c r="G26" i="1"/>
  <c r="G245" i="1"/>
  <c r="G28" i="1"/>
  <c r="G351" i="1"/>
  <c r="G217" i="1"/>
  <c r="G216" i="1"/>
  <c r="G219" i="1"/>
  <c r="G369" i="1"/>
  <c r="G127" i="1"/>
  <c r="G71" i="1"/>
  <c r="G38" i="1"/>
  <c r="G243" i="1"/>
  <c r="G692" i="1"/>
  <c r="G130" i="1"/>
  <c r="G693" i="1"/>
  <c r="G42" i="1"/>
  <c r="G672" i="1"/>
  <c r="G43" i="1"/>
  <c r="G674" i="1"/>
  <c r="G694" i="1"/>
  <c r="G695" i="1"/>
  <c r="G696" i="1"/>
  <c r="G697" i="1"/>
  <c r="G698" i="1"/>
  <c r="G699" i="1"/>
  <c r="G700" i="1"/>
  <c r="G701" i="1"/>
  <c r="G702" i="1"/>
  <c r="G703" i="1"/>
  <c r="G704" i="1"/>
  <c r="G705" i="1"/>
  <c r="G706" i="1"/>
  <c r="G707" i="1"/>
  <c r="G708" i="1"/>
  <c r="G709" i="1"/>
  <c r="G710" i="1"/>
  <c r="G711" i="1"/>
  <c r="G713" i="1"/>
  <c r="G714" i="1"/>
  <c r="G661" i="1"/>
  <c r="G675" i="1"/>
  <c r="G662" i="1"/>
  <c r="G676" i="1"/>
  <c r="G716" i="1"/>
  <c r="G84" i="1"/>
  <c r="G837" i="1"/>
  <c r="G446" i="1"/>
  <c r="G13" i="1"/>
  <c r="G248" i="1"/>
  <c r="G447" i="1"/>
  <c r="G826" i="1"/>
  <c r="G448" i="1"/>
  <c r="G15" i="1"/>
  <c r="G249" i="1"/>
  <c r="G449" i="1"/>
  <c r="G827" i="1"/>
  <c r="G454" i="1"/>
  <c r="G223" i="1"/>
  <c r="G455" i="1"/>
  <c r="G828" i="1"/>
  <c r="G456" i="1"/>
  <c r="G212" i="1"/>
  <c r="G278" i="1"/>
  <c r="G457" i="1"/>
  <c r="G829" i="1"/>
  <c r="G458" i="1"/>
  <c r="G273" i="1"/>
  <c r="G459" i="1"/>
  <c r="G830" i="1"/>
  <c r="G460" i="1"/>
  <c r="G270" i="1"/>
  <c r="G461" i="1"/>
  <c r="G831" i="1"/>
  <c r="G224" i="1"/>
  <c r="G361" i="1"/>
  <c r="G27" i="1"/>
  <c r="G256" i="1"/>
  <c r="G362" i="1"/>
  <c r="G832" i="1"/>
  <c r="G365" i="1"/>
  <c r="G339" i="1"/>
  <c r="G268" i="1"/>
  <c r="G340" i="1"/>
  <c r="G341" i="1"/>
  <c r="G342" i="1"/>
  <c r="G343" i="1"/>
  <c r="G29" i="1"/>
  <c r="G257" i="1"/>
  <c r="G344" i="1"/>
  <c r="G345" i="1"/>
  <c r="G267" i="1"/>
  <c r="G346" i="1"/>
  <c r="G31" i="1"/>
  <c r="G30" i="1"/>
  <c r="G258" i="1"/>
  <c r="G347" i="1"/>
  <c r="G348" i="1"/>
  <c r="G269" i="1"/>
  <c r="G349" i="1"/>
  <c r="G350" i="1"/>
  <c r="G352" i="1"/>
  <c r="G366" i="1"/>
  <c r="G833" i="1"/>
  <c r="G367" i="1"/>
  <c r="G218" i="1"/>
  <c r="G279" i="1"/>
  <c r="G368" i="1"/>
  <c r="G834" i="1"/>
  <c r="G657" i="1"/>
  <c r="G648" i="1"/>
  <c r="G623" i="1"/>
  <c r="G23" i="1"/>
  <c r="G253" i="1"/>
  <c r="G624" i="1"/>
  <c r="G18" i="1"/>
  <c r="G625" i="1"/>
  <c r="G280" i="1"/>
  <c r="G626" i="1"/>
  <c r="G627" i="1"/>
  <c r="G263" i="1"/>
  <c r="G628" i="1"/>
  <c r="G629" i="1"/>
  <c r="G276" i="1"/>
  <c r="G630" i="1"/>
  <c r="G631" i="1"/>
  <c r="G632" i="1"/>
  <c r="G633" i="1"/>
  <c r="G272" i="1"/>
  <c r="G634" i="1"/>
  <c r="G635" i="1"/>
  <c r="G262" i="1"/>
  <c r="G636" i="1"/>
  <c r="G637" i="1"/>
  <c r="G274" i="1"/>
  <c r="G638" i="1"/>
  <c r="G639" i="1"/>
  <c r="G19" i="1"/>
  <c r="G251" i="1"/>
  <c r="G640" i="1"/>
  <c r="G254" i="1"/>
  <c r="G641" i="1"/>
  <c r="G642" i="1"/>
  <c r="G277" i="1"/>
  <c r="G643" i="1"/>
  <c r="G644" i="1"/>
  <c r="G264" i="1"/>
  <c r="G645" i="1"/>
  <c r="G646" i="1"/>
  <c r="G140" i="1"/>
  <c r="G649" i="1"/>
  <c r="G650" i="1"/>
  <c r="G450" i="1"/>
  <c r="G260" i="1"/>
  <c r="G451" i="1"/>
  <c r="G452" i="1"/>
  <c r="G453" i="1"/>
  <c r="G462" i="1"/>
  <c r="G463" i="1"/>
  <c r="G266" i="1"/>
  <c r="G464" i="1"/>
  <c r="G465" i="1"/>
  <c r="G134" i="1"/>
  <c r="G135" i="1"/>
  <c r="G363" i="1"/>
  <c r="G364" i="1"/>
  <c r="G370" i="1"/>
  <c r="G128" i="1"/>
  <c r="G129" i="1"/>
  <c r="G72" i="1"/>
  <c r="G39" i="1"/>
  <c r="G651" i="1"/>
  <c r="G143" i="1"/>
  <c r="G717" i="1"/>
  <c r="G719" i="1"/>
  <c r="G142" i="1"/>
  <c r="G715" i="1"/>
  <c r="G658" i="1"/>
  <c r="G835" i="1"/>
  <c r="G659" i="1"/>
  <c r="G673" i="1"/>
  <c r="G660" i="1"/>
  <c r="G836" i="1"/>
  <c r="G825" i="1"/>
  <c r="G849" i="1"/>
  <c r="F242" i="1"/>
  <c r="F244" i="1"/>
  <c r="F22" i="1"/>
  <c r="F7" i="1"/>
  <c r="F172" i="1"/>
  <c r="F8" i="1"/>
  <c r="F10" i="1"/>
  <c r="F222" i="1"/>
  <c r="F14" i="1"/>
  <c r="F12" i="1"/>
  <c r="F228" i="1"/>
  <c r="F211" i="1"/>
  <c r="F229" i="1"/>
  <c r="F232" i="1"/>
  <c r="F233" i="1"/>
  <c r="F236" i="1"/>
  <c r="F139" i="1"/>
  <c r="F230" i="1"/>
  <c r="F234" i="1"/>
  <c r="F133" i="1"/>
  <c r="F173" i="1"/>
  <c r="F26" i="1"/>
  <c r="F245" i="1"/>
  <c r="F28" i="1"/>
  <c r="F351" i="1"/>
  <c r="F217" i="1"/>
  <c r="F216" i="1"/>
  <c r="F219" i="1"/>
  <c r="F369" i="1"/>
  <c r="F127" i="1"/>
  <c r="F71" i="1"/>
  <c r="F38" i="1"/>
  <c r="F243" i="1"/>
  <c r="F692" i="1"/>
  <c r="F130" i="1"/>
  <c r="F693" i="1"/>
  <c r="F42" i="1"/>
  <c r="F672" i="1"/>
  <c r="F43" i="1"/>
  <c r="F674" i="1"/>
  <c r="F694" i="1"/>
  <c r="F695" i="1"/>
  <c r="F696" i="1"/>
  <c r="F697" i="1"/>
  <c r="F698" i="1"/>
  <c r="F699" i="1"/>
  <c r="F700" i="1"/>
  <c r="F701" i="1"/>
  <c r="F702" i="1"/>
  <c r="F703" i="1"/>
  <c r="F704" i="1"/>
  <c r="F705" i="1"/>
  <c r="F706" i="1"/>
  <c r="F707" i="1"/>
  <c r="F708" i="1"/>
  <c r="F709" i="1"/>
  <c r="F710" i="1"/>
  <c r="F711" i="1"/>
  <c r="F713" i="1"/>
  <c r="F714" i="1"/>
  <c r="F661" i="1"/>
  <c r="F675" i="1"/>
  <c r="F662" i="1"/>
  <c r="F676" i="1"/>
  <c r="F716" i="1"/>
  <c r="F84" i="1"/>
  <c r="F837" i="1"/>
  <c r="F446" i="1"/>
  <c r="F13" i="1"/>
  <c r="F248" i="1"/>
  <c r="F447" i="1"/>
  <c r="F826" i="1"/>
  <c r="F448" i="1"/>
  <c r="F15" i="1"/>
  <c r="F249" i="1"/>
  <c r="F449" i="1"/>
  <c r="F827" i="1"/>
  <c r="F454" i="1"/>
  <c r="F223" i="1"/>
  <c r="F455" i="1"/>
  <c r="F828" i="1"/>
  <c r="F456" i="1"/>
  <c r="F212" i="1"/>
  <c r="F278" i="1"/>
  <c r="F457" i="1"/>
  <c r="F829" i="1"/>
  <c r="F458" i="1"/>
  <c r="F273" i="1"/>
  <c r="F459" i="1"/>
  <c r="F830" i="1"/>
  <c r="F460" i="1"/>
  <c r="F270" i="1"/>
  <c r="F461" i="1"/>
  <c r="F831" i="1"/>
  <c r="F224" i="1"/>
  <c r="F361" i="1"/>
  <c r="F27" i="1"/>
  <c r="F256" i="1"/>
  <c r="F362" i="1"/>
  <c r="F832" i="1"/>
  <c r="F365" i="1"/>
  <c r="F339" i="1"/>
  <c r="F268" i="1"/>
  <c r="F340" i="1"/>
  <c r="F341" i="1"/>
  <c r="F342" i="1"/>
  <c r="F343" i="1"/>
  <c r="F29" i="1"/>
  <c r="F257" i="1"/>
  <c r="F344" i="1"/>
  <c r="F345" i="1"/>
  <c r="F267" i="1"/>
  <c r="F346" i="1"/>
  <c r="F31" i="1"/>
  <c r="F30" i="1"/>
  <c r="F258" i="1"/>
  <c r="F347" i="1"/>
  <c r="F348" i="1"/>
  <c r="F269" i="1"/>
  <c r="F349" i="1"/>
  <c r="F350" i="1"/>
  <c r="F352" i="1"/>
  <c r="F366" i="1"/>
  <c r="F833" i="1"/>
  <c r="F367" i="1"/>
  <c r="F218" i="1"/>
  <c r="F279" i="1"/>
  <c r="F368" i="1"/>
  <c r="F834" i="1"/>
  <c r="F657" i="1"/>
  <c r="F648" i="1"/>
  <c r="F623" i="1"/>
  <c r="F23" i="1"/>
  <c r="F253" i="1"/>
  <c r="F624" i="1"/>
  <c r="F18" i="1"/>
  <c r="F625" i="1"/>
  <c r="F280" i="1"/>
  <c r="F626" i="1"/>
  <c r="F627" i="1"/>
  <c r="F263" i="1"/>
  <c r="F628" i="1"/>
  <c r="F629" i="1"/>
  <c r="F276" i="1"/>
  <c r="F630" i="1"/>
  <c r="F631" i="1"/>
  <c r="F632" i="1"/>
  <c r="F633" i="1"/>
  <c r="F272" i="1"/>
  <c r="F634" i="1"/>
  <c r="F635" i="1"/>
  <c r="F262" i="1"/>
  <c r="F636" i="1"/>
  <c r="F637" i="1"/>
  <c r="F274" i="1"/>
  <c r="F638" i="1"/>
  <c r="F639" i="1"/>
  <c r="F19" i="1"/>
  <c r="F251" i="1"/>
  <c r="F640" i="1"/>
  <c r="F254" i="1"/>
  <c r="F641" i="1"/>
  <c r="F642" i="1"/>
  <c r="F277" i="1"/>
  <c r="F643" i="1"/>
  <c r="F644" i="1"/>
  <c r="F264" i="1"/>
  <c r="F645" i="1"/>
  <c r="F646" i="1"/>
  <c r="F140" i="1"/>
  <c r="F649" i="1"/>
  <c r="F650" i="1"/>
  <c r="F450" i="1"/>
  <c r="F260" i="1"/>
  <c r="F451" i="1"/>
  <c r="F452" i="1"/>
  <c r="F453" i="1"/>
  <c r="F462" i="1"/>
  <c r="F463" i="1"/>
  <c r="F266" i="1"/>
  <c r="F464" i="1"/>
  <c r="F465" i="1"/>
  <c r="F134" i="1"/>
  <c r="F135" i="1"/>
  <c r="F363" i="1"/>
  <c r="F364" i="1"/>
  <c r="F370" i="1"/>
  <c r="F128" i="1"/>
  <c r="F129" i="1"/>
  <c r="F72" i="1"/>
  <c r="F39" i="1"/>
  <c r="F651" i="1"/>
  <c r="F143" i="1"/>
  <c r="F717" i="1"/>
  <c r="F719" i="1"/>
  <c r="F142" i="1"/>
  <c r="F715" i="1"/>
  <c r="F658" i="1"/>
  <c r="F835" i="1"/>
  <c r="F659" i="1"/>
  <c r="F673" i="1"/>
  <c r="F660" i="1"/>
  <c r="F836" i="1"/>
  <c r="F825" i="1"/>
  <c r="F849" i="1"/>
  <c r="E242" i="1"/>
  <c r="E244" i="1"/>
  <c r="E22" i="1"/>
  <c r="E7" i="1"/>
  <c r="E172" i="1"/>
  <c r="E8" i="1"/>
  <c r="E10" i="1"/>
  <c r="E222" i="1"/>
  <c r="E14" i="1"/>
  <c r="E12" i="1"/>
  <c r="E228" i="1"/>
  <c r="E211" i="1"/>
  <c r="E229" i="1"/>
  <c r="E232" i="1"/>
  <c r="E233" i="1"/>
  <c r="E236" i="1"/>
  <c r="E139" i="1"/>
  <c r="E230" i="1"/>
  <c r="E234" i="1"/>
  <c r="E133" i="1"/>
  <c r="E173" i="1"/>
  <c r="E26" i="1"/>
  <c r="E245" i="1"/>
  <c r="E28" i="1"/>
  <c r="E351" i="1"/>
  <c r="E217" i="1"/>
  <c r="E216" i="1"/>
  <c r="E219" i="1"/>
  <c r="E369" i="1"/>
  <c r="E127" i="1"/>
  <c r="E71" i="1"/>
  <c r="E38" i="1"/>
  <c r="E243" i="1"/>
  <c r="E692" i="1"/>
  <c r="E130" i="1"/>
  <c r="E693" i="1"/>
  <c r="E42" i="1"/>
  <c r="E672" i="1"/>
  <c r="E43" i="1"/>
  <c r="E674" i="1"/>
  <c r="E694" i="1"/>
  <c r="E695" i="1"/>
  <c r="E696" i="1"/>
  <c r="E697" i="1"/>
  <c r="E698" i="1"/>
  <c r="E699" i="1"/>
  <c r="E700" i="1"/>
  <c r="E701" i="1"/>
  <c r="E702" i="1"/>
  <c r="E703" i="1"/>
  <c r="E704" i="1"/>
  <c r="E705" i="1"/>
  <c r="E706" i="1"/>
  <c r="E707" i="1"/>
  <c r="E708" i="1"/>
  <c r="E709" i="1"/>
  <c r="E710" i="1"/>
  <c r="E711" i="1"/>
  <c r="E713" i="1"/>
  <c r="E714" i="1"/>
  <c r="E661" i="1"/>
  <c r="E675" i="1"/>
  <c r="E662" i="1"/>
  <c r="E676" i="1"/>
  <c r="E716" i="1"/>
  <c r="E84" i="1"/>
  <c r="E837" i="1"/>
  <c r="E446" i="1"/>
  <c r="E13" i="1"/>
  <c r="E248" i="1"/>
  <c r="E447" i="1"/>
  <c r="E826" i="1"/>
  <c r="E448" i="1"/>
  <c r="E15" i="1"/>
  <c r="E249" i="1"/>
  <c r="E449" i="1"/>
  <c r="E827" i="1"/>
  <c r="E454" i="1"/>
  <c r="E223" i="1"/>
  <c r="E455" i="1"/>
  <c r="E828" i="1"/>
  <c r="E456" i="1"/>
  <c r="E212" i="1"/>
  <c r="E278" i="1"/>
  <c r="E457" i="1"/>
  <c r="E829" i="1"/>
  <c r="E458" i="1"/>
  <c r="E273" i="1"/>
  <c r="E459" i="1"/>
  <c r="E830" i="1"/>
  <c r="E460" i="1"/>
  <c r="E270" i="1"/>
  <c r="E461" i="1"/>
  <c r="E831" i="1"/>
  <c r="E224" i="1"/>
  <c r="E361" i="1"/>
  <c r="E27" i="1"/>
  <c r="E256" i="1"/>
  <c r="E362" i="1"/>
  <c r="E832" i="1"/>
  <c r="E365" i="1"/>
  <c r="E339" i="1"/>
  <c r="E268" i="1"/>
  <c r="E340" i="1"/>
  <c r="E341" i="1"/>
  <c r="E342" i="1"/>
  <c r="E343" i="1"/>
  <c r="E29" i="1"/>
  <c r="E257" i="1"/>
  <c r="E344" i="1"/>
  <c r="E345" i="1"/>
  <c r="E267" i="1"/>
  <c r="E346" i="1"/>
  <c r="E31" i="1"/>
  <c r="E30" i="1"/>
  <c r="E258" i="1"/>
  <c r="E347" i="1"/>
  <c r="E348" i="1"/>
  <c r="E269" i="1"/>
  <c r="E349" i="1"/>
  <c r="E350" i="1"/>
  <c r="E352" i="1"/>
  <c r="E366" i="1"/>
  <c r="E833" i="1"/>
  <c r="E367" i="1"/>
  <c r="E218" i="1"/>
  <c r="E279" i="1"/>
  <c r="E368" i="1"/>
  <c r="E834" i="1"/>
  <c r="E657" i="1"/>
  <c r="E648" i="1"/>
  <c r="E623" i="1"/>
  <c r="E23" i="1"/>
  <c r="E253" i="1"/>
  <c r="E624" i="1"/>
  <c r="E18" i="1"/>
  <c r="E625" i="1"/>
  <c r="E280" i="1"/>
  <c r="E626" i="1"/>
  <c r="E627" i="1"/>
  <c r="E263" i="1"/>
  <c r="E628" i="1"/>
  <c r="E629" i="1"/>
  <c r="E276" i="1"/>
  <c r="E630" i="1"/>
  <c r="E631" i="1"/>
  <c r="E632" i="1"/>
  <c r="E633" i="1"/>
  <c r="E272" i="1"/>
  <c r="E634" i="1"/>
  <c r="E635" i="1"/>
  <c r="E262" i="1"/>
  <c r="E636" i="1"/>
  <c r="E637" i="1"/>
  <c r="E274" i="1"/>
  <c r="E638" i="1"/>
  <c r="E639" i="1"/>
  <c r="E19" i="1"/>
  <c r="E251" i="1"/>
  <c r="E640" i="1"/>
  <c r="E254" i="1"/>
  <c r="E641" i="1"/>
  <c r="E642" i="1"/>
  <c r="E277" i="1"/>
  <c r="E643" i="1"/>
  <c r="E644" i="1"/>
  <c r="E264" i="1"/>
  <c r="E645" i="1"/>
  <c r="E646" i="1"/>
  <c r="E140" i="1"/>
  <c r="E649" i="1"/>
  <c r="E650" i="1"/>
  <c r="E450" i="1"/>
  <c r="E260" i="1"/>
  <c r="E451" i="1"/>
  <c r="E452" i="1"/>
  <c r="E453" i="1"/>
  <c r="E462" i="1"/>
  <c r="E463" i="1"/>
  <c r="E266" i="1"/>
  <c r="E464" i="1"/>
  <c r="E465" i="1"/>
  <c r="E134" i="1"/>
  <c r="E135" i="1"/>
  <c r="E363" i="1"/>
  <c r="E364" i="1"/>
  <c r="E370" i="1"/>
  <c r="E128" i="1"/>
  <c r="E129" i="1"/>
  <c r="E72" i="1"/>
  <c r="E39" i="1"/>
  <c r="E651" i="1"/>
  <c r="E143" i="1"/>
  <c r="E717" i="1"/>
  <c r="E719" i="1"/>
  <c r="E142" i="1"/>
  <c r="E715" i="1"/>
  <c r="E658" i="1"/>
  <c r="E835" i="1"/>
  <c r="E659" i="1"/>
  <c r="E673" i="1"/>
  <c r="E660" i="1"/>
  <c r="E836" i="1"/>
  <c r="E825" i="1"/>
  <c r="E849" i="1"/>
  <c r="D242" i="1"/>
  <c r="D244" i="1"/>
  <c r="D22" i="1"/>
  <c r="D7" i="1"/>
  <c r="D172" i="1"/>
  <c r="D8" i="1"/>
  <c r="D10" i="1"/>
  <c r="D222" i="1"/>
  <c r="D14" i="1"/>
  <c r="D12" i="1"/>
  <c r="D228" i="1"/>
  <c r="D211" i="1"/>
  <c r="D229" i="1"/>
  <c r="D232" i="1"/>
  <c r="D233" i="1"/>
  <c r="D236" i="1"/>
  <c r="D139" i="1"/>
  <c r="D230" i="1"/>
  <c r="D234" i="1"/>
  <c r="D133" i="1"/>
  <c r="D173" i="1"/>
  <c r="D26" i="1"/>
  <c r="D245" i="1"/>
  <c r="D28" i="1"/>
  <c r="D351" i="1"/>
  <c r="D217" i="1"/>
  <c r="D216" i="1"/>
  <c r="D219" i="1"/>
  <c r="D369" i="1"/>
  <c r="D127" i="1"/>
  <c r="D71" i="1"/>
  <c r="D38" i="1"/>
  <c r="D243" i="1"/>
  <c r="D692" i="1"/>
  <c r="D130" i="1"/>
  <c r="D693" i="1"/>
  <c r="D42" i="1"/>
  <c r="D672" i="1"/>
  <c r="D43" i="1"/>
  <c r="D674" i="1"/>
  <c r="D694" i="1"/>
  <c r="D695" i="1"/>
  <c r="D696" i="1"/>
  <c r="D697" i="1"/>
  <c r="D698" i="1"/>
  <c r="D699" i="1"/>
  <c r="D700" i="1"/>
  <c r="D701" i="1"/>
  <c r="D702" i="1"/>
  <c r="D703" i="1"/>
  <c r="D704" i="1"/>
  <c r="D705" i="1"/>
  <c r="D706" i="1"/>
  <c r="D707" i="1"/>
  <c r="D708" i="1"/>
  <c r="D709" i="1"/>
  <c r="D710" i="1"/>
  <c r="D711" i="1"/>
  <c r="D713" i="1"/>
  <c r="D714" i="1"/>
  <c r="D661" i="1"/>
  <c r="D675" i="1"/>
  <c r="D662" i="1"/>
  <c r="D676" i="1"/>
  <c r="D716" i="1"/>
  <c r="D84" i="1"/>
  <c r="D837" i="1"/>
  <c r="D446" i="1"/>
  <c r="D13" i="1"/>
  <c r="D248" i="1"/>
  <c r="D447" i="1"/>
  <c r="D826" i="1"/>
  <c r="D448" i="1"/>
  <c r="D15" i="1"/>
  <c r="D249" i="1"/>
  <c r="D449" i="1"/>
  <c r="D827" i="1"/>
  <c r="D454" i="1"/>
  <c r="D223" i="1"/>
  <c r="D455" i="1"/>
  <c r="D828" i="1"/>
  <c r="D456" i="1"/>
  <c r="D212" i="1"/>
  <c r="D278" i="1"/>
  <c r="D457" i="1"/>
  <c r="D829" i="1"/>
  <c r="D458" i="1"/>
  <c r="D273" i="1"/>
  <c r="D459" i="1"/>
  <c r="D830" i="1"/>
  <c r="D460" i="1"/>
  <c r="D270" i="1"/>
  <c r="D461" i="1"/>
  <c r="D831" i="1"/>
  <c r="D224" i="1"/>
  <c r="D361" i="1"/>
  <c r="D27" i="1"/>
  <c r="D256" i="1"/>
  <c r="D362" i="1"/>
  <c r="D832" i="1"/>
  <c r="D365" i="1"/>
  <c r="D339" i="1"/>
  <c r="D268" i="1"/>
  <c r="D340" i="1"/>
  <c r="D341" i="1"/>
  <c r="D342" i="1"/>
  <c r="D343" i="1"/>
  <c r="D29" i="1"/>
  <c r="D257" i="1"/>
  <c r="D344" i="1"/>
  <c r="D345" i="1"/>
  <c r="D267" i="1"/>
  <c r="D346" i="1"/>
  <c r="D31" i="1"/>
  <c r="D30" i="1"/>
  <c r="D258" i="1"/>
  <c r="D347" i="1"/>
  <c r="D348" i="1"/>
  <c r="D269" i="1"/>
  <c r="D349" i="1"/>
  <c r="D350" i="1"/>
  <c r="D352" i="1"/>
  <c r="D366" i="1"/>
  <c r="D833" i="1"/>
  <c r="D367" i="1"/>
  <c r="D218" i="1"/>
  <c r="D279" i="1"/>
  <c r="D368" i="1"/>
  <c r="D834" i="1"/>
  <c r="D657" i="1"/>
  <c r="D648" i="1"/>
  <c r="D623" i="1"/>
  <c r="D23" i="1"/>
  <c r="D253" i="1"/>
  <c r="D624" i="1"/>
  <c r="D18" i="1"/>
  <c r="D625" i="1"/>
  <c r="D280" i="1"/>
  <c r="D626" i="1"/>
  <c r="D627" i="1"/>
  <c r="D263" i="1"/>
  <c r="D628" i="1"/>
  <c r="D629" i="1"/>
  <c r="D276" i="1"/>
  <c r="D630" i="1"/>
  <c r="D631" i="1"/>
  <c r="D632" i="1"/>
  <c r="D633" i="1"/>
  <c r="D272" i="1"/>
  <c r="D634" i="1"/>
  <c r="D635" i="1"/>
  <c r="D262" i="1"/>
  <c r="D636" i="1"/>
  <c r="D637" i="1"/>
  <c r="D274" i="1"/>
  <c r="D638" i="1"/>
  <c r="D639" i="1"/>
  <c r="D19" i="1"/>
  <c r="D251" i="1"/>
  <c r="D640" i="1"/>
  <c r="D254" i="1"/>
  <c r="D641" i="1"/>
  <c r="D642" i="1"/>
  <c r="D277" i="1"/>
  <c r="D643" i="1"/>
  <c r="D644" i="1"/>
  <c r="D264" i="1"/>
  <c r="D645" i="1"/>
  <c r="D646" i="1"/>
  <c r="D140" i="1"/>
  <c r="D649" i="1"/>
  <c r="D650" i="1"/>
  <c r="D450" i="1"/>
  <c r="D260" i="1"/>
  <c r="D451" i="1"/>
  <c r="D452" i="1"/>
  <c r="D453" i="1"/>
  <c r="D462" i="1"/>
  <c r="D463" i="1"/>
  <c r="D266" i="1"/>
  <c r="D464" i="1"/>
  <c r="D465" i="1"/>
  <c r="D134" i="1"/>
  <c r="D135" i="1"/>
  <c r="D363" i="1"/>
  <c r="D364" i="1"/>
  <c r="D370" i="1"/>
  <c r="D128" i="1"/>
  <c r="D129" i="1"/>
  <c r="D72" i="1"/>
  <c r="D39" i="1"/>
  <c r="D651" i="1"/>
  <c r="D143" i="1"/>
  <c r="D717" i="1"/>
  <c r="D719" i="1"/>
  <c r="D142" i="1"/>
  <c r="D715" i="1"/>
  <c r="D658" i="1"/>
  <c r="D835" i="1"/>
  <c r="D659" i="1"/>
  <c r="D673" i="1"/>
  <c r="D660" i="1"/>
  <c r="D836" i="1"/>
  <c r="D825" i="1"/>
  <c r="D849" i="1"/>
  <c r="AF848" i="1"/>
  <c r="AE848" i="1"/>
  <c r="AD848" i="1"/>
  <c r="AC848" i="1"/>
  <c r="AB848" i="1"/>
  <c r="AA848" i="1"/>
  <c r="Z848" i="1"/>
  <c r="Y848" i="1"/>
  <c r="X848" i="1"/>
  <c r="W848" i="1"/>
  <c r="V848" i="1"/>
  <c r="U848" i="1"/>
  <c r="T848" i="1"/>
  <c r="S848" i="1"/>
  <c r="R848" i="1"/>
  <c r="Q848" i="1"/>
  <c r="P848" i="1"/>
  <c r="O848" i="1"/>
  <c r="N848" i="1"/>
  <c r="M848" i="1"/>
  <c r="L848" i="1"/>
  <c r="K848" i="1"/>
  <c r="J848" i="1"/>
  <c r="I848" i="1"/>
  <c r="H848" i="1"/>
  <c r="G848" i="1"/>
  <c r="F848" i="1"/>
  <c r="E848" i="1"/>
  <c r="D848" i="1"/>
  <c r="AF847" i="1"/>
  <c r="AE847" i="1"/>
  <c r="AD847" i="1"/>
  <c r="AC847" i="1"/>
  <c r="AB847" i="1"/>
  <c r="AA847" i="1"/>
  <c r="Z847" i="1"/>
  <c r="Y847" i="1"/>
  <c r="X847" i="1"/>
  <c r="W847" i="1"/>
  <c r="V847" i="1"/>
  <c r="U847" i="1"/>
  <c r="T847" i="1"/>
  <c r="S847" i="1"/>
  <c r="R847" i="1"/>
  <c r="Q847" i="1"/>
  <c r="P847" i="1"/>
  <c r="O847" i="1"/>
  <c r="N847" i="1"/>
  <c r="M847" i="1"/>
  <c r="L847" i="1"/>
  <c r="K847" i="1"/>
  <c r="J847" i="1"/>
  <c r="I847" i="1"/>
  <c r="H847" i="1"/>
  <c r="G847" i="1"/>
  <c r="F847" i="1"/>
  <c r="E847" i="1"/>
  <c r="D847" i="1"/>
  <c r="AF846" i="1"/>
  <c r="AE846" i="1"/>
  <c r="AD846" i="1"/>
  <c r="AC846" i="1"/>
  <c r="AB846" i="1"/>
  <c r="AA846" i="1"/>
  <c r="Z846" i="1"/>
  <c r="Y846" i="1"/>
  <c r="X846" i="1"/>
  <c r="W846" i="1"/>
  <c r="V846" i="1"/>
  <c r="U846" i="1"/>
  <c r="T846" i="1"/>
  <c r="S846" i="1"/>
  <c r="R846" i="1"/>
  <c r="Q846" i="1"/>
  <c r="P846" i="1"/>
  <c r="O846" i="1"/>
  <c r="N846" i="1"/>
  <c r="M846" i="1"/>
  <c r="L846" i="1"/>
  <c r="K846" i="1"/>
  <c r="J846" i="1"/>
  <c r="I846" i="1"/>
  <c r="H846" i="1"/>
  <c r="G846" i="1"/>
  <c r="F846" i="1"/>
  <c r="E846" i="1"/>
  <c r="D846" i="1"/>
  <c r="AF845" i="1"/>
  <c r="AE845" i="1"/>
  <c r="AD845" i="1"/>
  <c r="AC845" i="1"/>
  <c r="AB845" i="1"/>
  <c r="AA845" i="1"/>
  <c r="Z845" i="1"/>
  <c r="Y845" i="1"/>
  <c r="X845" i="1"/>
  <c r="W845" i="1"/>
  <c r="V845" i="1"/>
  <c r="U845" i="1"/>
  <c r="T845" i="1"/>
  <c r="S845" i="1"/>
  <c r="R845" i="1"/>
  <c r="Q845" i="1"/>
  <c r="P845" i="1"/>
  <c r="O845" i="1"/>
  <c r="N845" i="1"/>
  <c r="M845" i="1"/>
  <c r="L845" i="1"/>
  <c r="K845" i="1"/>
  <c r="J845" i="1"/>
  <c r="I845" i="1"/>
  <c r="H845" i="1"/>
  <c r="G845" i="1"/>
  <c r="F845" i="1"/>
  <c r="E845" i="1"/>
  <c r="D845" i="1"/>
  <c r="AF844" i="1"/>
  <c r="AE844" i="1"/>
  <c r="AD844" i="1"/>
  <c r="AC844" i="1"/>
  <c r="AB844" i="1"/>
  <c r="AA844" i="1"/>
  <c r="Z844" i="1"/>
  <c r="Y844" i="1"/>
  <c r="X844" i="1"/>
  <c r="W844" i="1"/>
  <c r="V844" i="1"/>
  <c r="U844" i="1"/>
  <c r="T844" i="1"/>
  <c r="S844" i="1"/>
  <c r="R844" i="1"/>
  <c r="Q844" i="1"/>
  <c r="P844" i="1"/>
  <c r="O844" i="1"/>
  <c r="N844" i="1"/>
  <c r="M844" i="1"/>
  <c r="L844" i="1"/>
  <c r="K844" i="1"/>
  <c r="J844" i="1"/>
  <c r="I844" i="1"/>
  <c r="H844" i="1"/>
  <c r="G844" i="1"/>
  <c r="F844" i="1"/>
  <c r="E844" i="1"/>
  <c r="D844" i="1"/>
  <c r="AF843" i="1"/>
  <c r="AE843" i="1"/>
  <c r="AD843" i="1"/>
  <c r="AC843" i="1"/>
  <c r="AB843" i="1"/>
  <c r="AA843" i="1"/>
  <c r="Z843" i="1"/>
  <c r="Y843" i="1"/>
  <c r="X843" i="1"/>
  <c r="W843" i="1"/>
  <c r="V843" i="1"/>
  <c r="U843" i="1"/>
  <c r="T843" i="1"/>
  <c r="S843" i="1"/>
  <c r="R843" i="1"/>
  <c r="Q843" i="1"/>
  <c r="P843" i="1"/>
  <c r="O843" i="1"/>
  <c r="N843" i="1"/>
  <c r="M843" i="1"/>
  <c r="L843" i="1"/>
  <c r="K843" i="1"/>
  <c r="J843" i="1"/>
  <c r="I843" i="1"/>
  <c r="H843" i="1"/>
  <c r="G843" i="1"/>
  <c r="F843" i="1"/>
  <c r="E843" i="1"/>
  <c r="D843" i="1"/>
  <c r="AF842" i="1"/>
  <c r="AE842" i="1"/>
  <c r="AD842" i="1"/>
  <c r="AC842" i="1"/>
  <c r="AB842" i="1"/>
  <c r="AA842" i="1"/>
  <c r="Z842" i="1"/>
  <c r="Y842" i="1"/>
  <c r="X842" i="1"/>
  <c r="W842" i="1"/>
  <c r="V842" i="1"/>
  <c r="U842" i="1"/>
  <c r="T842" i="1"/>
  <c r="S842" i="1"/>
  <c r="R842" i="1"/>
  <c r="Q842" i="1"/>
  <c r="P842" i="1"/>
  <c r="O842" i="1"/>
  <c r="N842" i="1"/>
  <c r="M842" i="1"/>
  <c r="L842" i="1"/>
  <c r="K842" i="1"/>
  <c r="J842" i="1"/>
  <c r="I842" i="1"/>
  <c r="H842" i="1"/>
  <c r="G842" i="1"/>
  <c r="F842" i="1"/>
  <c r="E842" i="1"/>
  <c r="D842" i="1"/>
  <c r="AF841" i="1"/>
  <c r="AE841" i="1"/>
  <c r="AD841" i="1"/>
  <c r="AC841" i="1"/>
  <c r="AB841" i="1"/>
  <c r="AA841" i="1"/>
  <c r="Z841" i="1"/>
  <c r="Y841" i="1"/>
  <c r="X841" i="1"/>
  <c r="W841" i="1"/>
  <c r="V841" i="1"/>
  <c r="U841" i="1"/>
  <c r="T841" i="1"/>
  <c r="S841" i="1"/>
  <c r="R841" i="1"/>
  <c r="Q841" i="1"/>
  <c r="P841" i="1"/>
  <c r="O841" i="1"/>
  <c r="N841" i="1"/>
  <c r="M841" i="1"/>
  <c r="L841" i="1"/>
  <c r="K841" i="1"/>
  <c r="J841" i="1"/>
  <c r="I841" i="1"/>
  <c r="H841" i="1"/>
  <c r="G841" i="1"/>
  <c r="F841" i="1"/>
  <c r="E841" i="1"/>
  <c r="D841" i="1"/>
  <c r="AF840" i="1"/>
  <c r="AE840" i="1"/>
  <c r="AD840" i="1"/>
  <c r="AC840" i="1"/>
  <c r="AB840" i="1"/>
  <c r="AA840" i="1"/>
  <c r="Z840" i="1"/>
  <c r="Y840" i="1"/>
  <c r="X840" i="1"/>
  <c r="W840" i="1"/>
  <c r="V840" i="1"/>
  <c r="U840" i="1"/>
  <c r="T840" i="1"/>
  <c r="S840" i="1"/>
  <c r="R840" i="1"/>
  <c r="Q840" i="1"/>
  <c r="P840" i="1"/>
  <c r="O840" i="1"/>
  <c r="N840" i="1"/>
  <c r="M840" i="1"/>
  <c r="L840" i="1"/>
  <c r="K840" i="1"/>
  <c r="J840" i="1"/>
  <c r="I840" i="1"/>
  <c r="H840" i="1"/>
  <c r="G840" i="1"/>
  <c r="F840" i="1"/>
  <c r="E840" i="1"/>
  <c r="D840" i="1"/>
  <c r="AF839" i="1"/>
  <c r="AE839" i="1"/>
  <c r="AD839" i="1"/>
  <c r="AC839" i="1"/>
  <c r="AB839" i="1"/>
  <c r="AA839" i="1"/>
  <c r="Z839" i="1"/>
  <c r="Y839" i="1"/>
  <c r="X839" i="1"/>
  <c r="W839" i="1"/>
  <c r="V839" i="1"/>
  <c r="U839" i="1"/>
  <c r="T839" i="1"/>
  <c r="S839" i="1"/>
  <c r="R839" i="1"/>
  <c r="Q839" i="1"/>
  <c r="P839" i="1"/>
  <c r="O839" i="1"/>
  <c r="N839" i="1"/>
  <c r="M839" i="1"/>
  <c r="L839" i="1"/>
  <c r="K839" i="1"/>
  <c r="J839" i="1"/>
  <c r="I839" i="1"/>
  <c r="H839" i="1"/>
  <c r="G839" i="1"/>
  <c r="F839" i="1"/>
  <c r="E839" i="1"/>
  <c r="D839" i="1"/>
  <c r="AF838" i="1"/>
  <c r="AE838" i="1"/>
  <c r="AD838" i="1"/>
  <c r="AC838" i="1"/>
  <c r="AB838" i="1"/>
  <c r="AA838" i="1"/>
  <c r="Z838" i="1"/>
  <c r="Y838" i="1"/>
  <c r="X838" i="1"/>
  <c r="W838" i="1"/>
  <c r="V838" i="1"/>
  <c r="U838" i="1"/>
  <c r="T838" i="1"/>
  <c r="S838" i="1"/>
  <c r="R838" i="1"/>
  <c r="Q838" i="1"/>
  <c r="P838" i="1"/>
  <c r="O838" i="1"/>
  <c r="N838" i="1"/>
  <c r="M838" i="1"/>
  <c r="L838" i="1"/>
  <c r="K838" i="1"/>
  <c r="J838" i="1"/>
  <c r="I838" i="1"/>
  <c r="H838" i="1"/>
  <c r="G838" i="1"/>
  <c r="F838" i="1"/>
  <c r="E838" i="1"/>
  <c r="D838" i="1"/>
  <c r="C244" i="1"/>
  <c r="C22" i="1"/>
  <c r="C7" i="1"/>
  <c r="C172" i="1"/>
  <c r="C8" i="1"/>
  <c r="C10" i="1"/>
  <c r="C222" i="1"/>
  <c r="C14" i="1"/>
  <c r="C12" i="1"/>
  <c r="C228" i="1"/>
  <c r="C211" i="1"/>
  <c r="C229" i="1"/>
  <c r="C232" i="1"/>
  <c r="C233" i="1"/>
  <c r="C236" i="1"/>
  <c r="C139" i="1"/>
  <c r="C230" i="1"/>
  <c r="C234" i="1"/>
  <c r="C133" i="1"/>
  <c r="C173" i="1"/>
  <c r="C26" i="1"/>
  <c r="C245" i="1"/>
  <c r="C28" i="1"/>
  <c r="C351" i="1"/>
  <c r="C217" i="1"/>
  <c r="C216" i="1"/>
  <c r="C219" i="1"/>
  <c r="C369" i="1"/>
  <c r="C127" i="1"/>
  <c r="C71" i="1"/>
  <c r="C38" i="1"/>
  <c r="C692" i="1"/>
  <c r="C130" i="1"/>
  <c r="C693" i="1"/>
  <c r="C42" i="1"/>
  <c r="C672" i="1"/>
  <c r="C43" i="1"/>
  <c r="C674" i="1"/>
  <c r="C694" i="1"/>
  <c r="C695" i="1"/>
  <c r="C696" i="1"/>
  <c r="C697" i="1"/>
  <c r="C698" i="1"/>
  <c r="C699" i="1"/>
  <c r="C700" i="1"/>
  <c r="C701" i="1"/>
  <c r="C702" i="1"/>
  <c r="C703" i="1"/>
  <c r="C704" i="1"/>
  <c r="C705" i="1"/>
  <c r="C706" i="1"/>
  <c r="C707" i="1"/>
  <c r="C708" i="1"/>
  <c r="C709" i="1"/>
  <c r="C710" i="1"/>
  <c r="C711" i="1"/>
  <c r="C713" i="1"/>
  <c r="C714" i="1"/>
  <c r="C661" i="1"/>
  <c r="C675" i="1"/>
  <c r="C662" i="1"/>
  <c r="C676" i="1"/>
  <c r="C716" i="1"/>
  <c r="C84" i="1"/>
  <c r="C837" i="1"/>
  <c r="C446" i="1"/>
  <c r="C13" i="1"/>
  <c r="C248" i="1"/>
  <c r="C447" i="1"/>
  <c r="C826" i="1"/>
  <c r="C448" i="1"/>
  <c r="C15" i="1"/>
  <c r="C249" i="1"/>
  <c r="C449" i="1"/>
  <c r="C827" i="1"/>
  <c r="C454" i="1"/>
  <c r="C223" i="1"/>
  <c r="C455" i="1"/>
  <c r="C828" i="1"/>
  <c r="C456" i="1"/>
  <c r="C212" i="1"/>
  <c r="C278" i="1"/>
  <c r="C457" i="1"/>
  <c r="C829" i="1"/>
  <c r="C458" i="1"/>
  <c r="C273" i="1"/>
  <c r="C459" i="1"/>
  <c r="C830" i="1"/>
  <c r="C460" i="1"/>
  <c r="C270" i="1"/>
  <c r="C461" i="1"/>
  <c r="C831" i="1"/>
  <c r="C224" i="1"/>
  <c r="C361" i="1"/>
  <c r="C27" i="1"/>
  <c r="C256" i="1"/>
  <c r="C362" i="1"/>
  <c r="C832" i="1"/>
  <c r="C365" i="1"/>
  <c r="C339" i="1"/>
  <c r="C268" i="1"/>
  <c r="C340" i="1"/>
  <c r="C341" i="1"/>
  <c r="C342" i="1"/>
  <c r="C343" i="1"/>
  <c r="C29" i="1"/>
  <c r="C257" i="1"/>
  <c r="C344" i="1"/>
  <c r="C345" i="1"/>
  <c r="C267" i="1"/>
  <c r="C346" i="1"/>
  <c r="C31" i="1"/>
  <c r="C30" i="1"/>
  <c r="C258" i="1"/>
  <c r="C347" i="1"/>
  <c r="C348" i="1"/>
  <c r="C269" i="1"/>
  <c r="C349" i="1"/>
  <c r="C350" i="1"/>
  <c r="C352" i="1"/>
  <c r="C366" i="1"/>
  <c r="C833" i="1"/>
  <c r="C367" i="1"/>
  <c r="C218" i="1"/>
  <c r="C279" i="1"/>
  <c r="C368" i="1"/>
  <c r="C834" i="1"/>
  <c r="C657" i="1"/>
  <c r="C648" i="1"/>
  <c r="C623" i="1"/>
  <c r="C23" i="1"/>
  <c r="C253" i="1"/>
  <c r="C624" i="1"/>
  <c r="C18" i="1"/>
  <c r="C625" i="1"/>
  <c r="C280" i="1"/>
  <c r="C626" i="1"/>
  <c r="C627" i="1"/>
  <c r="C263" i="1"/>
  <c r="C628" i="1"/>
  <c r="C629" i="1"/>
  <c r="C276" i="1"/>
  <c r="C630" i="1"/>
  <c r="C631" i="1"/>
  <c r="C632" i="1"/>
  <c r="C633" i="1"/>
  <c r="C272" i="1"/>
  <c r="C634" i="1"/>
  <c r="C635" i="1"/>
  <c r="C262" i="1"/>
  <c r="C636" i="1"/>
  <c r="C637" i="1"/>
  <c r="C274" i="1"/>
  <c r="C638" i="1"/>
  <c r="C639" i="1"/>
  <c r="C19" i="1"/>
  <c r="C251" i="1"/>
  <c r="C640" i="1"/>
  <c r="C254" i="1"/>
  <c r="C641" i="1"/>
  <c r="C642" i="1"/>
  <c r="C277" i="1"/>
  <c r="C643" i="1"/>
  <c r="C644" i="1"/>
  <c r="C264" i="1"/>
  <c r="C645" i="1"/>
  <c r="C646" i="1"/>
  <c r="C140" i="1"/>
  <c r="C649" i="1"/>
  <c r="C650" i="1"/>
  <c r="C450" i="1"/>
  <c r="C260" i="1"/>
  <c r="C451" i="1"/>
  <c r="C452" i="1"/>
  <c r="C453" i="1"/>
  <c r="C462" i="1"/>
  <c r="C463" i="1"/>
  <c r="C266" i="1"/>
  <c r="C464" i="1"/>
  <c r="C465" i="1"/>
  <c r="C134" i="1"/>
  <c r="C135" i="1"/>
  <c r="C363" i="1"/>
  <c r="C364" i="1"/>
  <c r="C370" i="1"/>
  <c r="C128" i="1"/>
  <c r="C129" i="1"/>
  <c r="C72" i="1"/>
  <c r="C39" i="1"/>
  <c r="C651" i="1"/>
  <c r="C143" i="1"/>
  <c r="C717" i="1"/>
  <c r="C719" i="1"/>
  <c r="C142" i="1"/>
  <c r="C715" i="1"/>
  <c r="C658" i="1"/>
  <c r="C835" i="1"/>
  <c r="C659" i="1"/>
  <c r="C673" i="1"/>
  <c r="C660" i="1"/>
  <c r="C836" i="1"/>
  <c r="C825" i="1"/>
  <c r="C849" i="1"/>
  <c r="C848" i="1"/>
  <c r="C847" i="1"/>
  <c r="C846" i="1"/>
  <c r="C845" i="1"/>
  <c r="C844" i="1"/>
  <c r="C843" i="1"/>
  <c r="C842" i="1"/>
  <c r="C841" i="1"/>
  <c r="C840" i="1"/>
  <c r="C839" i="1"/>
  <c r="C838" i="1"/>
  <c r="AF477" i="1"/>
  <c r="AF478" i="1"/>
  <c r="AF16" i="1"/>
  <c r="AF231" i="1"/>
  <c r="AF136" i="1"/>
  <c r="AF504" i="1"/>
  <c r="AF505" i="1"/>
  <c r="AF517" i="1"/>
  <c r="AF863" i="1"/>
  <c r="AF467" i="1"/>
  <c r="AF468" i="1"/>
  <c r="AF498" i="1"/>
  <c r="AF499" i="1"/>
  <c r="AF853" i="1"/>
  <c r="AF469" i="1"/>
  <c r="AF17" i="1"/>
  <c r="AF250" i="1"/>
  <c r="AF470" i="1"/>
  <c r="AF854" i="1"/>
  <c r="AF471" i="1"/>
  <c r="AF472" i="1"/>
  <c r="AF500" i="1"/>
  <c r="AF501" i="1"/>
  <c r="AF855" i="1"/>
  <c r="AF473" i="1"/>
  <c r="AF474" i="1"/>
  <c r="AF502" i="1"/>
  <c r="AF503" i="1"/>
  <c r="AF861" i="1"/>
  <c r="AF475" i="1"/>
  <c r="AF476" i="1"/>
  <c r="AF862" i="1"/>
  <c r="AF479" i="1"/>
  <c r="AF480" i="1"/>
  <c r="AF506" i="1"/>
  <c r="AF507" i="1"/>
  <c r="AF856" i="1"/>
  <c r="AF481" i="1"/>
  <c r="AF482" i="1"/>
  <c r="AF508" i="1"/>
  <c r="AF509" i="1"/>
  <c r="AF857" i="1"/>
  <c r="AF483" i="1"/>
  <c r="AF484" i="1"/>
  <c r="AF510" i="1"/>
  <c r="AF511" i="1"/>
  <c r="AF858" i="1"/>
  <c r="AF485" i="1"/>
  <c r="AF271" i="1"/>
  <c r="AF486" i="1"/>
  <c r="AF859" i="1"/>
  <c r="AF487" i="1"/>
  <c r="AF488" i="1"/>
  <c r="AF512" i="1"/>
  <c r="AF513" i="1"/>
  <c r="AF860" i="1"/>
  <c r="AF852" i="1"/>
  <c r="AF874" i="1"/>
  <c r="AE477" i="1"/>
  <c r="AE478" i="1"/>
  <c r="AE16" i="1"/>
  <c r="AE231" i="1"/>
  <c r="AE136" i="1"/>
  <c r="AE504" i="1"/>
  <c r="AE505" i="1"/>
  <c r="AE517" i="1"/>
  <c r="AE863" i="1"/>
  <c r="AE467" i="1"/>
  <c r="AE468" i="1"/>
  <c r="AE498" i="1"/>
  <c r="AE499" i="1"/>
  <c r="AE853" i="1"/>
  <c r="AE469" i="1"/>
  <c r="AE17" i="1"/>
  <c r="AE250" i="1"/>
  <c r="AE470" i="1"/>
  <c r="AE854" i="1"/>
  <c r="AE471" i="1"/>
  <c r="AE472" i="1"/>
  <c r="AE500" i="1"/>
  <c r="AE501" i="1"/>
  <c r="AE855" i="1"/>
  <c r="AE473" i="1"/>
  <c r="AE474" i="1"/>
  <c r="AE502" i="1"/>
  <c r="AE503" i="1"/>
  <c r="AE861" i="1"/>
  <c r="AE475" i="1"/>
  <c r="AE476" i="1"/>
  <c r="AE862" i="1"/>
  <c r="AE479" i="1"/>
  <c r="AE480" i="1"/>
  <c r="AE506" i="1"/>
  <c r="AE507" i="1"/>
  <c r="AE856" i="1"/>
  <c r="AE481" i="1"/>
  <c r="AE482" i="1"/>
  <c r="AE508" i="1"/>
  <c r="AE509" i="1"/>
  <c r="AE857" i="1"/>
  <c r="AE483" i="1"/>
  <c r="AE484" i="1"/>
  <c r="AE510" i="1"/>
  <c r="AE511" i="1"/>
  <c r="AE858" i="1"/>
  <c r="AE485" i="1"/>
  <c r="AE271" i="1"/>
  <c r="AE486" i="1"/>
  <c r="AE859" i="1"/>
  <c r="AE487" i="1"/>
  <c r="AE488" i="1"/>
  <c r="AE512" i="1"/>
  <c r="AE513" i="1"/>
  <c r="AE860" i="1"/>
  <c r="AE852" i="1"/>
  <c r="AE874" i="1"/>
  <c r="AD477" i="1"/>
  <c r="AD478" i="1"/>
  <c r="AD16" i="1"/>
  <c r="AD231" i="1"/>
  <c r="AD136" i="1"/>
  <c r="AD504" i="1"/>
  <c r="AD505" i="1"/>
  <c r="AD517" i="1"/>
  <c r="AD863" i="1"/>
  <c r="AD467" i="1"/>
  <c r="AD468" i="1"/>
  <c r="AD498" i="1"/>
  <c r="AD499" i="1"/>
  <c r="AD853" i="1"/>
  <c r="AD469" i="1"/>
  <c r="AD17" i="1"/>
  <c r="AD250" i="1"/>
  <c r="AD470" i="1"/>
  <c r="AD854" i="1"/>
  <c r="AD471" i="1"/>
  <c r="AD472" i="1"/>
  <c r="AD500" i="1"/>
  <c r="AD501" i="1"/>
  <c r="AD855" i="1"/>
  <c r="AD473" i="1"/>
  <c r="AD474" i="1"/>
  <c r="AD502" i="1"/>
  <c r="AD503" i="1"/>
  <c r="AD861" i="1"/>
  <c r="AD475" i="1"/>
  <c r="AD476" i="1"/>
  <c r="AD862" i="1"/>
  <c r="AD479" i="1"/>
  <c r="AD480" i="1"/>
  <c r="AD506" i="1"/>
  <c r="AD507" i="1"/>
  <c r="AD856" i="1"/>
  <c r="AD481" i="1"/>
  <c r="AD482" i="1"/>
  <c r="AD508" i="1"/>
  <c r="AD509" i="1"/>
  <c r="AD857" i="1"/>
  <c r="AD483" i="1"/>
  <c r="AD484" i="1"/>
  <c r="AD510" i="1"/>
  <c r="AD511" i="1"/>
  <c r="AD858" i="1"/>
  <c r="AD485" i="1"/>
  <c r="AD271" i="1"/>
  <c r="AD486" i="1"/>
  <c r="AD859" i="1"/>
  <c r="AD487" i="1"/>
  <c r="AD488" i="1"/>
  <c r="AD512" i="1"/>
  <c r="AD513" i="1"/>
  <c r="AD860" i="1"/>
  <c r="AD852" i="1"/>
  <c r="AD874" i="1"/>
  <c r="AC477" i="1"/>
  <c r="AC478" i="1"/>
  <c r="AC16" i="1"/>
  <c r="AC231" i="1"/>
  <c r="AC136" i="1"/>
  <c r="AC504" i="1"/>
  <c r="AC505" i="1"/>
  <c r="AC517" i="1"/>
  <c r="AC863" i="1"/>
  <c r="AC467" i="1"/>
  <c r="AC468" i="1"/>
  <c r="AC498" i="1"/>
  <c r="AC499" i="1"/>
  <c r="AC853" i="1"/>
  <c r="AC469" i="1"/>
  <c r="AC17" i="1"/>
  <c r="AC250" i="1"/>
  <c r="AC470" i="1"/>
  <c r="AC854" i="1"/>
  <c r="AC471" i="1"/>
  <c r="AC472" i="1"/>
  <c r="AC500" i="1"/>
  <c r="AC501" i="1"/>
  <c r="AC855" i="1"/>
  <c r="AC473" i="1"/>
  <c r="AC474" i="1"/>
  <c r="AC502" i="1"/>
  <c r="AC503" i="1"/>
  <c r="AC861" i="1"/>
  <c r="AC475" i="1"/>
  <c r="AC476" i="1"/>
  <c r="AC862" i="1"/>
  <c r="AC479" i="1"/>
  <c r="AC480" i="1"/>
  <c r="AC506" i="1"/>
  <c r="AC507" i="1"/>
  <c r="AC856" i="1"/>
  <c r="AC481" i="1"/>
  <c r="AC482" i="1"/>
  <c r="AC508" i="1"/>
  <c r="AC509" i="1"/>
  <c r="AC857" i="1"/>
  <c r="AC483" i="1"/>
  <c r="AC484" i="1"/>
  <c r="AC510" i="1"/>
  <c r="AC511" i="1"/>
  <c r="AC858" i="1"/>
  <c r="AC485" i="1"/>
  <c r="AC271" i="1"/>
  <c r="AC486" i="1"/>
  <c r="AC859" i="1"/>
  <c r="AC487" i="1"/>
  <c r="AC488" i="1"/>
  <c r="AC512" i="1"/>
  <c r="AC513" i="1"/>
  <c r="AC860" i="1"/>
  <c r="AC852" i="1"/>
  <c r="AC874" i="1"/>
  <c r="AB477" i="1"/>
  <c r="AB478" i="1"/>
  <c r="AB16" i="1"/>
  <c r="AB231" i="1"/>
  <c r="AB136" i="1"/>
  <c r="AB504" i="1"/>
  <c r="AB505" i="1"/>
  <c r="AB517" i="1"/>
  <c r="AB863" i="1"/>
  <c r="AB467" i="1"/>
  <c r="AB468" i="1"/>
  <c r="AB498" i="1"/>
  <c r="AB499" i="1"/>
  <c r="AB853" i="1"/>
  <c r="AB469" i="1"/>
  <c r="AB17" i="1"/>
  <c r="AB250" i="1"/>
  <c r="AB470" i="1"/>
  <c r="AB854" i="1"/>
  <c r="AB471" i="1"/>
  <c r="AB472" i="1"/>
  <c r="AB500" i="1"/>
  <c r="AB501" i="1"/>
  <c r="AB855" i="1"/>
  <c r="AB473" i="1"/>
  <c r="AB474" i="1"/>
  <c r="AB502" i="1"/>
  <c r="AB503" i="1"/>
  <c r="AB861" i="1"/>
  <c r="AB475" i="1"/>
  <c r="AB476" i="1"/>
  <c r="AB862" i="1"/>
  <c r="AB479" i="1"/>
  <c r="AB480" i="1"/>
  <c r="AB506" i="1"/>
  <c r="AB507" i="1"/>
  <c r="AB856" i="1"/>
  <c r="AB481" i="1"/>
  <c r="AB482" i="1"/>
  <c r="AB508" i="1"/>
  <c r="AB509" i="1"/>
  <c r="AB857" i="1"/>
  <c r="AB483" i="1"/>
  <c r="AB484" i="1"/>
  <c r="AB510" i="1"/>
  <c r="AB511" i="1"/>
  <c r="AB858" i="1"/>
  <c r="AB485" i="1"/>
  <c r="AB271" i="1"/>
  <c r="AB486" i="1"/>
  <c r="AB859" i="1"/>
  <c r="AB487" i="1"/>
  <c r="AB488" i="1"/>
  <c r="AB512" i="1"/>
  <c r="AB513" i="1"/>
  <c r="AB860" i="1"/>
  <c r="AB852" i="1"/>
  <c r="AB874" i="1"/>
  <c r="AA477" i="1"/>
  <c r="AA478" i="1"/>
  <c r="AA16" i="1"/>
  <c r="AA231" i="1"/>
  <c r="AA136" i="1"/>
  <c r="AA504" i="1"/>
  <c r="AA505" i="1"/>
  <c r="AA517" i="1"/>
  <c r="AA863" i="1"/>
  <c r="AA467" i="1"/>
  <c r="AA468" i="1"/>
  <c r="AA498" i="1"/>
  <c r="AA499" i="1"/>
  <c r="AA853" i="1"/>
  <c r="AA469" i="1"/>
  <c r="AA17" i="1"/>
  <c r="AA250" i="1"/>
  <c r="AA470" i="1"/>
  <c r="AA854" i="1"/>
  <c r="AA471" i="1"/>
  <c r="AA472" i="1"/>
  <c r="AA500" i="1"/>
  <c r="AA501" i="1"/>
  <c r="AA855" i="1"/>
  <c r="AA473" i="1"/>
  <c r="AA474" i="1"/>
  <c r="AA502" i="1"/>
  <c r="AA503" i="1"/>
  <c r="AA861" i="1"/>
  <c r="AA475" i="1"/>
  <c r="AA476" i="1"/>
  <c r="AA862" i="1"/>
  <c r="AA479" i="1"/>
  <c r="AA480" i="1"/>
  <c r="AA506" i="1"/>
  <c r="AA507" i="1"/>
  <c r="AA856" i="1"/>
  <c r="AA481" i="1"/>
  <c r="AA482" i="1"/>
  <c r="AA508" i="1"/>
  <c r="AA509" i="1"/>
  <c r="AA857" i="1"/>
  <c r="AA483" i="1"/>
  <c r="AA484" i="1"/>
  <c r="AA510" i="1"/>
  <c r="AA511" i="1"/>
  <c r="AA858" i="1"/>
  <c r="AA485" i="1"/>
  <c r="AA271" i="1"/>
  <c r="AA486" i="1"/>
  <c r="AA859" i="1"/>
  <c r="AA487" i="1"/>
  <c r="AA488" i="1"/>
  <c r="AA512" i="1"/>
  <c r="AA513" i="1"/>
  <c r="AA860" i="1"/>
  <c r="AA852" i="1"/>
  <c r="AA874" i="1"/>
  <c r="Z477" i="1"/>
  <c r="Z478" i="1"/>
  <c r="Z16" i="1"/>
  <c r="Z231" i="1"/>
  <c r="Z136" i="1"/>
  <c r="Z504" i="1"/>
  <c r="Z505" i="1"/>
  <c r="Z517" i="1"/>
  <c r="Z863" i="1"/>
  <c r="Z467" i="1"/>
  <c r="Z468" i="1"/>
  <c r="Z498" i="1"/>
  <c r="Z499" i="1"/>
  <c r="Z853" i="1"/>
  <c r="Z469" i="1"/>
  <c r="Z17" i="1"/>
  <c r="Z250" i="1"/>
  <c r="Z470" i="1"/>
  <c r="Z854" i="1"/>
  <c r="Z471" i="1"/>
  <c r="Z472" i="1"/>
  <c r="Z500" i="1"/>
  <c r="Z501" i="1"/>
  <c r="Z855" i="1"/>
  <c r="Z473" i="1"/>
  <c r="Z474" i="1"/>
  <c r="Z502" i="1"/>
  <c r="Z503" i="1"/>
  <c r="Z861" i="1"/>
  <c r="Z475" i="1"/>
  <c r="Z476" i="1"/>
  <c r="Z862" i="1"/>
  <c r="Z479" i="1"/>
  <c r="Z480" i="1"/>
  <c r="Z506" i="1"/>
  <c r="Z507" i="1"/>
  <c r="Z856" i="1"/>
  <c r="Z481" i="1"/>
  <c r="Z482" i="1"/>
  <c r="Z508" i="1"/>
  <c r="Z509" i="1"/>
  <c r="Z857" i="1"/>
  <c r="Z483" i="1"/>
  <c r="Z484" i="1"/>
  <c r="Z510" i="1"/>
  <c r="Z511" i="1"/>
  <c r="Z858" i="1"/>
  <c r="Z485" i="1"/>
  <c r="Z271" i="1"/>
  <c r="Z486" i="1"/>
  <c r="Z859" i="1"/>
  <c r="Z487" i="1"/>
  <c r="Z488" i="1"/>
  <c r="Z512" i="1"/>
  <c r="Z513" i="1"/>
  <c r="Z860" i="1"/>
  <c r="Z852" i="1"/>
  <c r="Z874" i="1"/>
  <c r="Y477" i="1"/>
  <c r="Y478" i="1"/>
  <c r="Y16" i="1"/>
  <c r="Y231" i="1"/>
  <c r="Y136" i="1"/>
  <c r="Y504" i="1"/>
  <c r="Y505" i="1"/>
  <c r="Y517" i="1"/>
  <c r="Y863" i="1"/>
  <c r="Y467" i="1"/>
  <c r="Y468" i="1"/>
  <c r="Y498" i="1"/>
  <c r="Y499" i="1"/>
  <c r="Y853" i="1"/>
  <c r="Y469" i="1"/>
  <c r="Y17" i="1"/>
  <c r="Y250" i="1"/>
  <c r="Y470" i="1"/>
  <c r="Y854" i="1"/>
  <c r="Y471" i="1"/>
  <c r="Y472" i="1"/>
  <c r="Y500" i="1"/>
  <c r="Y501" i="1"/>
  <c r="Y855" i="1"/>
  <c r="Y473" i="1"/>
  <c r="Y474" i="1"/>
  <c r="Y502" i="1"/>
  <c r="Y503" i="1"/>
  <c r="Y861" i="1"/>
  <c r="Y475" i="1"/>
  <c r="Y476" i="1"/>
  <c r="Y862" i="1"/>
  <c r="Y479" i="1"/>
  <c r="Y480" i="1"/>
  <c r="Y506" i="1"/>
  <c r="Y507" i="1"/>
  <c r="Y856" i="1"/>
  <c r="Y481" i="1"/>
  <c r="Y482" i="1"/>
  <c r="Y508" i="1"/>
  <c r="Y509" i="1"/>
  <c r="Y857" i="1"/>
  <c r="Y483" i="1"/>
  <c r="Y484" i="1"/>
  <c r="Y510" i="1"/>
  <c r="Y511" i="1"/>
  <c r="Y858" i="1"/>
  <c r="Y485" i="1"/>
  <c r="Y271" i="1"/>
  <c r="Y486" i="1"/>
  <c r="Y859" i="1"/>
  <c r="Y487" i="1"/>
  <c r="Y488" i="1"/>
  <c r="Y512" i="1"/>
  <c r="Y513" i="1"/>
  <c r="Y860" i="1"/>
  <c r="Y852" i="1"/>
  <c r="Y874" i="1"/>
  <c r="X477" i="1"/>
  <c r="X478" i="1"/>
  <c r="X16" i="1"/>
  <c r="X231" i="1"/>
  <c r="X136" i="1"/>
  <c r="X504" i="1"/>
  <c r="X505" i="1"/>
  <c r="X517" i="1"/>
  <c r="X863" i="1"/>
  <c r="X467" i="1"/>
  <c r="X468" i="1"/>
  <c r="X498" i="1"/>
  <c r="X499" i="1"/>
  <c r="X853" i="1"/>
  <c r="X469" i="1"/>
  <c r="X17" i="1"/>
  <c r="X250" i="1"/>
  <c r="X470" i="1"/>
  <c r="X854" i="1"/>
  <c r="X471" i="1"/>
  <c r="X472" i="1"/>
  <c r="X500" i="1"/>
  <c r="X501" i="1"/>
  <c r="X855" i="1"/>
  <c r="X473" i="1"/>
  <c r="X474" i="1"/>
  <c r="X502" i="1"/>
  <c r="X503" i="1"/>
  <c r="X861" i="1"/>
  <c r="X475" i="1"/>
  <c r="X476" i="1"/>
  <c r="X862" i="1"/>
  <c r="X479" i="1"/>
  <c r="X480" i="1"/>
  <c r="X506" i="1"/>
  <c r="X507" i="1"/>
  <c r="X856" i="1"/>
  <c r="X481" i="1"/>
  <c r="X482" i="1"/>
  <c r="X508" i="1"/>
  <c r="X509" i="1"/>
  <c r="X857" i="1"/>
  <c r="X483" i="1"/>
  <c r="X484" i="1"/>
  <c r="X510" i="1"/>
  <c r="X511" i="1"/>
  <c r="X858" i="1"/>
  <c r="X485" i="1"/>
  <c r="X271" i="1"/>
  <c r="X486" i="1"/>
  <c r="X859" i="1"/>
  <c r="X487" i="1"/>
  <c r="X488" i="1"/>
  <c r="X512" i="1"/>
  <c r="X513" i="1"/>
  <c r="X860" i="1"/>
  <c r="X852" i="1"/>
  <c r="X874" i="1"/>
  <c r="W477" i="1"/>
  <c r="W478" i="1"/>
  <c r="W16" i="1"/>
  <c r="W231" i="1"/>
  <c r="W136" i="1"/>
  <c r="W504" i="1"/>
  <c r="W505" i="1"/>
  <c r="W517" i="1"/>
  <c r="W863" i="1"/>
  <c r="W467" i="1"/>
  <c r="W468" i="1"/>
  <c r="W498" i="1"/>
  <c r="W499" i="1"/>
  <c r="W853" i="1"/>
  <c r="W469" i="1"/>
  <c r="W17" i="1"/>
  <c r="W250" i="1"/>
  <c r="W470" i="1"/>
  <c r="W854" i="1"/>
  <c r="W471" i="1"/>
  <c r="W472" i="1"/>
  <c r="W500" i="1"/>
  <c r="W501" i="1"/>
  <c r="W855" i="1"/>
  <c r="W473" i="1"/>
  <c r="W474" i="1"/>
  <c r="W502" i="1"/>
  <c r="W503" i="1"/>
  <c r="W861" i="1"/>
  <c r="W475" i="1"/>
  <c r="W476" i="1"/>
  <c r="W862" i="1"/>
  <c r="W479" i="1"/>
  <c r="W480" i="1"/>
  <c r="W506" i="1"/>
  <c r="W507" i="1"/>
  <c r="W856" i="1"/>
  <c r="W481" i="1"/>
  <c r="W482" i="1"/>
  <c r="W508" i="1"/>
  <c r="W509" i="1"/>
  <c r="W857" i="1"/>
  <c r="W483" i="1"/>
  <c r="W484" i="1"/>
  <c r="W510" i="1"/>
  <c r="W511" i="1"/>
  <c r="W858" i="1"/>
  <c r="W485" i="1"/>
  <c r="W271" i="1"/>
  <c r="W486" i="1"/>
  <c r="W859" i="1"/>
  <c r="W487" i="1"/>
  <c r="W488" i="1"/>
  <c r="W512" i="1"/>
  <c r="W513" i="1"/>
  <c r="W860" i="1"/>
  <c r="W852" i="1"/>
  <c r="W874" i="1"/>
  <c r="V477" i="1"/>
  <c r="V478" i="1"/>
  <c r="V16" i="1"/>
  <c r="V231" i="1"/>
  <c r="V136" i="1"/>
  <c r="V504" i="1"/>
  <c r="V505" i="1"/>
  <c r="V517" i="1"/>
  <c r="V863" i="1"/>
  <c r="V467" i="1"/>
  <c r="V468" i="1"/>
  <c r="V498" i="1"/>
  <c r="V499" i="1"/>
  <c r="V853" i="1"/>
  <c r="V469" i="1"/>
  <c r="V17" i="1"/>
  <c r="V250" i="1"/>
  <c r="V470" i="1"/>
  <c r="V854" i="1"/>
  <c r="V471" i="1"/>
  <c r="V472" i="1"/>
  <c r="V500" i="1"/>
  <c r="V501" i="1"/>
  <c r="V855" i="1"/>
  <c r="V473" i="1"/>
  <c r="V474" i="1"/>
  <c r="V502" i="1"/>
  <c r="V503" i="1"/>
  <c r="V861" i="1"/>
  <c r="V475" i="1"/>
  <c r="V476" i="1"/>
  <c r="V862" i="1"/>
  <c r="V479" i="1"/>
  <c r="V480" i="1"/>
  <c r="V506" i="1"/>
  <c r="V507" i="1"/>
  <c r="V856" i="1"/>
  <c r="V481" i="1"/>
  <c r="V482" i="1"/>
  <c r="V508" i="1"/>
  <c r="V509" i="1"/>
  <c r="V857" i="1"/>
  <c r="V483" i="1"/>
  <c r="V484" i="1"/>
  <c r="V510" i="1"/>
  <c r="V511" i="1"/>
  <c r="V858" i="1"/>
  <c r="V485" i="1"/>
  <c r="V271" i="1"/>
  <c r="V486" i="1"/>
  <c r="V859" i="1"/>
  <c r="V487" i="1"/>
  <c r="V488" i="1"/>
  <c r="V512" i="1"/>
  <c r="V513" i="1"/>
  <c r="V860" i="1"/>
  <c r="V852" i="1"/>
  <c r="V874" i="1"/>
  <c r="U477" i="1"/>
  <c r="U478" i="1"/>
  <c r="U16" i="1"/>
  <c r="U231" i="1"/>
  <c r="U136" i="1"/>
  <c r="U504" i="1"/>
  <c r="U505" i="1"/>
  <c r="U517" i="1"/>
  <c r="U863" i="1"/>
  <c r="U467" i="1"/>
  <c r="U468" i="1"/>
  <c r="U498" i="1"/>
  <c r="U499" i="1"/>
  <c r="U853" i="1"/>
  <c r="U469" i="1"/>
  <c r="U17" i="1"/>
  <c r="U250" i="1"/>
  <c r="U470" i="1"/>
  <c r="U854" i="1"/>
  <c r="U471" i="1"/>
  <c r="U472" i="1"/>
  <c r="U500" i="1"/>
  <c r="U501" i="1"/>
  <c r="U855" i="1"/>
  <c r="U473" i="1"/>
  <c r="U474" i="1"/>
  <c r="U502" i="1"/>
  <c r="U503" i="1"/>
  <c r="U861" i="1"/>
  <c r="U475" i="1"/>
  <c r="U476" i="1"/>
  <c r="U862" i="1"/>
  <c r="U479" i="1"/>
  <c r="U480" i="1"/>
  <c r="U506" i="1"/>
  <c r="U507" i="1"/>
  <c r="U856" i="1"/>
  <c r="U481" i="1"/>
  <c r="U482" i="1"/>
  <c r="U508" i="1"/>
  <c r="U509" i="1"/>
  <c r="U857" i="1"/>
  <c r="U483" i="1"/>
  <c r="U484" i="1"/>
  <c r="U510" i="1"/>
  <c r="U511" i="1"/>
  <c r="U858" i="1"/>
  <c r="U485" i="1"/>
  <c r="U271" i="1"/>
  <c r="U486" i="1"/>
  <c r="U859" i="1"/>
  <c r="U487" i="1"/>
  <c r="U488" i="1"/>
  <c r="U512" i="1"/>
  <c r="U513" i="1"/>
  <c r="U860" i="1"/>
  <c r="U852" i="1"/>
  <c r="U874" i="1"/>
  <c r="T477" i="1"/>
  <c r="T478" i="1"/>
  <c r="T16" i="1"/>
  <c r="T231" i="1"/>
  <c r="T136" i="1"/>
  <c r="T504" i="1"/>
  <c r="T505" i="1"/>
  <c r="T517" i="1"/>
  <c r="T863" i="1"/>
  <c r="T467" i="1"/>
  <c r="T468" i="1"/>
  <c r="T498" i="1"/>
  <c r="T499" i="1"/>
  <c r="T853" i="1"/>
  <c r="T469" i="1"/>
  <c r="T17" i="1"/>
  <c r="T250" i="1"/>
  <c r="T470" i="1"/>
  <c r="T854" i="1"/>
  <c r="T471" i="1"/>
  <c r="T472" i="1"/>
  <c r="T500" i="1"/>
  <c r="T501" i="1"/>
  <c r="T855" i="1"/>
  <c r="T473" i="1"/>
  <c r="T474" i="1"/>
  <c r="T502" i="1"/>
  <c r="T503" i="1"/>
  <c r="T861" i="1"/>
  <c r="T475" i="1"/>
  <c r="T476" i="1"/>
  <c r="T862" i="1"/>
  <c r="T479" i="1"/>
  <c r="T480" i="1"/>
  <c r="T506" i="1"/>
  <c r="T507" i="1"/>
  <c r="T856" i="1"/>
  <c r="T481" i="1"/>
  <c r="T482" i="1"/>
  <c r="T508" i="1"/>
  <c r="T509" i="1"/>
  <c r="T857" i="1"/>
  <c r="T483" i="1"/>
  <c r="T484" i="1"/>
  <c r="T510" i="1"/>
  <c r="T511" i="1"/>
  <c r="T858" i="1"/>
  <c r="T485" i="1"/>
  <c r="T271" i="1"/>
  <c r="T486" i="1"/>
  <c r="T859" i="1"/>
  <c r="T487" i="1"/>
  <c r="T488" i="1"/>
  <c r="T512" i="1"/>
  <c r="T513" i="1"/>
  <c r="T860" i="1"/>
  <c r="T852" i="1"/>
  <c r="T874" i="1"/>
  <c r="S477" i="1"/>
  <c r="S478" i="1"/>
  <c r="S16" i="1"/>
  <c r="S231" i="1"/>
  <c r="S136" i="1"/>
  <c r="S504" i="1"/>
  <c r="S505" i="1"/>
  <c r="S517" i="1"/>
  <c r="S863" i="1"/>
  <c r="S467" i="1"/>
  <c r="S468" i="1"/>
  <c r="S498" i="1"/>
  <c r="S499" i="1"/>
  <c r="S853" i="1"/>
  <c r="S469" i="1"/>
  <c r="S17" i="1"/>
  <c r="S250" i="1"/>
  <c r="S470" i="1"/>
  <c r="S854" i="1"/>
  <c r="S471" i="1"/>
  <c r="S472" i="1"/>
  <c r="S500" i="1"/>
  <c r="S501" i="1"/>
  <c r="S855" i="1"/>
  <c r="S473" i="1"/>
  <c r="S474" i="1"/>
  <c r="S502" i="1"/>
  <c r="S503" i="1"/>
  <c r="S861" i="1"/>
  <c r="S475" i="1"/>
  <c r="S476" i="1"/>
  <c r="S862" i="1"/>
  <c r="S479" i="1"/>
  <c r="S480" i="1"/>
  <c r="S506" i="1"/>
  <c r="S507" i="1"/>
  <c r="S856" i="1"/>
  <c r="S481" i="1"/>
  <c r="S482" i="1"/>
  <c r="S508" i="1"/>
  <c r="S509" i="1"/>
  <c r="S857" i="1"/>
  <c r="S483" i="1"/>
  <c r="S484" i="1"/>
  <c r="S510" i="1"/>
  <c r="S511" i="1"/>
  <c r="S858" i="1"/>
  <c r="S485" i="1"/>
  <c r="S271" i="1"/>
  <c r="S486" i="1"/>
  <c r="S859" i="1"/>
  <c r="S487" i="1"/>
  <c r="S488" i="1"/>
  <c r="S512" i="1"/>
  <c r="S513" i="1"/>
  <c r="S860" i="1"/>
  <c r="S852" i="1"/>
  <c r="S874" i="1"/>
  <c r="R477" i="1"/>
  <c r="R478" i="1"/>
  <c r="R16" i="1"/>
  <c r="R231" i="1"/>
  <c r="R136" i="1"/>
  <c r="R504" i="1"/>
  <c r="R505" i="1"/>
  <c r="R517" i="1"/>
  <c r="R863" i="1"/>
  <c r="R467" i="1"/>
  <c r="R468" i="1"/>
  <c r="R498" i="1"/>
  <c r="R499" i="1"/>
  <c r="R853" i="1"/>
  <c r="R469" i="1"/>
  <c r="R17" i="1"/>
  <c r="R250" i="1"/>
  <c r="R470" i="1"/>
  <c r="R854" i="1"/>
  <c r="R471" i="1"/>
  <c r="R472" i="1"/>
  <c r="R500" i="1"/>
  <c r="R501" i="1"/>
  <c r="R855" i="1"/>
  <c r="R473" i="1"/>
  <c r="R474" i="1"/>
  <c r="R502" i="1"/>
  <c r="R503" i="1"/>
  <c r="R861" i="1"/>
  <c r="R475" i="1"/>
  <c r="R476" i="1"/>
  <c r="R862" i="1"/>
  <c r="R479" i="1"/>
  <c r="R480" i="1"/>
  <c r="R506" i="1"/>
  <c r="R507" i="1"/>
  <c r="R856" i="1"/>
  <c r="R481" i="1"/>
  <c r="R482" i="1"/>
  <c r="R508" i="1"/>
  <c r="R509" i="1"/>
  <c r="R857" i="1"/>
  <c r="R483" i="1"/>
  <c r="R484" i="1"/>
  <c r="R510" i="1"/>
  <c r="R511" i="1"/>
  <c r="R858" i="1"/>
  <c r="R485" i="1"/>
  <c r="R271" i="1"/>
  <c r="R486" i="1"/>
  <c r="R859" i="1"/>
  <c r="R487" i="1"/>
  <c r="R488" i="1"/>
  <c r="R512" i="1"/>
  <c r="R513" i="1"/>
  <c r="R860" i="1"/>
  <c r="R852" i="1"/>
  <c r="R874" i="1"/>
  <c r="Q477" i="1"/>
  <c r="Q478" i="1"/>
  <c r="Q16" i="1"/>
  <c r="Q231" i="1"/>
  <c r="Q136" i="1"/>
  <c r="Q504" i="1"/>
  <c r="Q505" i="1"/>
  <c r="Q517" i="1"/>
  <c r="Q863" i="1"/>
  <c r="Q467" i="1"/>
  <c r="Q468" i="1"/>
  <c r="Q498" i="1"/>
  <c r="Q499" i="1"/>
  <c r="Q853" i="1"/>
  <c r="Q469" i="1"/>
  <c r="Q17" i="1"/>
  <c r="Q250" i="1"/>
  <c r="Q470" i="1"/>
  <c r="Q854" i="1"/>
  <c r="Q471" i="1"/>
  <c r="Q472" i="1"/>
  <c r="Q500" i="1"/>
  <c r="Q501" i="1"/>
  <c r="Q855" i="1"/>
  <c r="Q473" i="1"/>
  <c r="Q474" i="1"/>
  <c r="Q502" i="1"/>
  <c r="Q503" i="1"/>
  <c r="Q861" i="1"/>
  <c r="Q475" i="1"/>
  <c r="Q476" i="1"/>
  <c r="Q862" i="1"/>
  <c r="Q479" i="1"/>
  <c r="Q480" i="1"/>
  <c r="Q506" i="1"/>
  <c r="Q507" i="1"/>
  <c r="Q856" i="1"/>
  <c r="Q481" i="1"/>
  <c r="Q482" i="1"/>
  <c r="Q508" i="1"/>
  <c r="Q509" i="1"/>
  <c r="Q857" i="1"/>
  <c r="Q483" i="1"/>
  <c r="Q484" i="1"/>
  <c r="Q510" i="1"/>
  <c r="Q511" i="1"/>
  <c r="Q858" i="1"/>
  <c r="Q485" i="1"/>
  <c r="Q271" i="1"/>
  <c r="Q486" i="1"/>
  <c r="Q859" i="1"/>
  <c r="Q487" i="1"/>
  <c r="Q488" i="1"/>
  <c r="Q512" i="1"/>
  <c r="Q513" i="1"/>
  <c r="Q860" i="1"/>
  <c r="Q852" i="1"/>
  <c r="Q874" i="1"/>
  <c r="P477" i="1"/>
  <c r="P478" i="1"/>
  <c r="P16" i="1"/>
  <c r="P231" i="1"/>
  <c r="P136" i="1"/>
  <c r="P504" i="1"/>
  <c r="P505" i="1"/>
  <c r="P517" i="1"/>
  <c r="P863" i="1"/>
  <c r="P467" i="1"/>
  <c r="P468" i="1"/>
  <c r="P498" i="1"/>
  <c r="P499" i="1"/>
  <c r="P853" i="1"/>
  <c r="P469" i="1"/>
  <c r="P17" i="1"/>
  <c r="P250" i="1"/>
  <c r="P470" i="1"/>
  <c r="P854" i="1"/>
  <c r="P471" i="1"/>
  <c r="P472" i="1"/>
  <c r="P500" i="1"/>
  <c r="P501" i="1"/>
  <c r="P855" i="1"/>
  <c r="P473" i="1"/>
  <c r="P474" i="1"/>
  <c r="P502" i="1"/>
  <c r="P503" i="1"/>
  <c r="P861" i="1"/>
  <c r="P475" i="1"/>
  <c r="P476" i="1"/>
  <c r="P862" i="1"/>
  <c r="P479" i="1"/>
  <c r="P480" i="1"/>
  <c r="P506" i="1"/>
  <c r="P507" i="1"/>
  <c r="P856" i="1"/>
  <c r="P481" i="1"/>
  <c r="P482" i="1"/>
  <c r="P508" i="1"/>
  <c r="P509" i="1"/>
  <c r="P857" i="1"/>
  <c r="P483" i="1"/>
  <c r="P484" i="1"/>
  <c r="P510" i="1"/>
  <c r="P511" i="1"/>
  <c r="P858" i="1"/>
  <c r="P485" i="1"/>
  <c r="P271" i="1"/>
  <c r="P486" i="1"/>
  <c r="P859" i="1"/>
  <c r="P487" i="1"/>
  <c r="P488" i="1"/>
  <c r="P512" i="1"/>
  <c r="P513" i="1"/>
  <c r="P860" i="1"/>
  <c r="P852" i="1"/>
  <c r="P874" i="1"/>
  <c r="O477" i="1"/>
  <c r="O478" i="1"/>
  <c r="O16" i="1"/>
  <c r="O231" i="1"/>
  <c r="O136" i="1"/>
  <c r="O504" i="1"/>
  <c r="O505" i="1"/>
  <c r="O517" i="1"/>
  <c r="O863" i="1"/>
  <c r="O467" i="1"/>
  <c r="O468" i="1"/>
  <c r="O498" i="1"/>
  <c r="O499" i="1"/>
  <c r="O853" i="1"/>
  <c r="O469" i="1"/>
  <c r="O17" i="1"/>
  <c r="O250" i="1"/>
  <c r="O470" i="1"/>
  <c r="O854" i="1"/>
  <c r="O471" i="1"/>
  <c r="O472" i="1"/>
  <c r="O500" i="1"/>
  <c r="O501" i="1"/>
  <c r="O855" i="1"/>
  <c r="O473" i="1"/>
  <c r="O474" i="1"/>
  <c r="O502" i="1"/>
  <c r="O503" i="1"/>
  <c r="O861" i="1"/>
  <c r="O475" i="1"/>
  <c r="O476" i="1"/>
  <c r="O862" i="1"/>
  <c r="O479" i="1"/>
  <c r="O480" i="1"/>
  <c r="O506" i="1"/>
  <c r="O507" i="1"/>
  <c r="O856" i="1"/>
  <c r="O481" i="1"/>
  <c r="O482" i="1"/>
  <c r="O508" i="1"/>
  <c r="O509" i="1"/>
  <c r="O857" i="1"/>
  <c r="O483" i="1"/>
  <c r="O484" i="1"/>
  <c r="O510" i="1"/>
  <c r="O511" i="1"/>
  <c r="O858" i="1"/>
  <c r="O485" i="1"/>
  <c r="O271" i="1"/>
  <c r="O486" i="1"/>
  <c r="O859" i="1"/>
  <c r="O487" i="1"/>
  <c r="O488" i="1"/>
  <c r="O512" i="1"/>
  <c r="O513" i="1"/>
  <c r="O860" i="1"/>
  <c r="O852" i="1"/>
  <c r="O874" i="1"/>
  <c r="N477" i="1"/>
  <c r="N478" i="1"/>
  <c r="N16" i="1"/>
  <c r="N231" i="1"/>
  <c r="N136" i="1"/>
  <c r="N504" i="1"/>
  <c r="N505" i="1"/>
  <c r="N517" i="1"/>
  <c r="N863" i="1"/>
  <c r="N467" i="1"/>
  <c r="N468" i="1"/>
  <c r="N498" i="1"/>
  <c r="N499" i="1"/>
  <c r="N853" i="1"/>
  <c r="N469" i="1"/>
  <c r="N17" i="1"/>
  <c r="N250" i="1"/>
  <c r="N470" i="1"/>
  <c r="N854" i="1"/>
  <c r="N471" i="1"/>
  <c r="N472" i="1"/>
  <c r="N500" i="1"/>
  <c r="N501" i="1"/>
  <c r="N855" i="1"/>
  <c r="N473" i="1"/>
  <c r="N474" i="1"/>
  <c r="N502" i="1"/>
  <c r="N503" i="1"/>
  <c r="N861" i="1"/>
  <c r="N475" i="1"/>
  <c r="N476" i="1"/>
  <c r="N862" i="1"/>
  <c r="N479" i="1"/>
  <c r="N480" i="1"/>
  <c r="N506" i="1"/>
  <c r="N507" i="1"/>
  <c r="N856" i="1"/>
  <c r="N481" i="1"/>
  <c r="N482" i="1"/>
  <c r="N508" i="1"/>
  <c r="N509" i="1"/>
  <c r="N857" i="1"/>
  <c r="N483" i="1"/>
  <c r="N484" i="1"/>
  <c r="N510" i="1"/>
  <c r="N511" i="1"/>
  <c r="N858" i="1"/>
  <c r="N485" i="1"/>
  <c r="N271" i="1"/>
  <c r="N486" i="1"/>
  <c r="N859" i="1"/>
  <c r="N487" i="1"/>
  <c r="N488" i="1"/>
  <c r="N512" i="1"/>
  <c r="N513" i="1"/>
  <c r="N860" i="1"/>
  <c r="N852" i="1"/>
  <c r="N874" i="1"/>
  <c r="M477" i="1"/>
  <c r="M478" i="1"/>
  <c r="M16" i="1"/>
  <c r="M231" i="1"/>
  <c r="M136" i="1"/>
  <c r="M504" i="1"/>
  <c r="M505" i="1"/>
  <c r="M517" i="1"/>
  <c r="M863" i="1"/>
  <c r="M467" i="1"/>
  <c r="M468" i="1"/>
  <c r="M498" i="1"/>
  <c r="M499" i="1"/>
  <c r="M853" i="1"/>
  <c r="M469" i="1"/>
  <c r="M17" i="1"/>
  <c r="M250" i="1"/>
  <c r="M470" i="1"/>
  <c r="M854" i="1"/>
  <c r="M471" i="1"/>
  <c r="M472" i="1"/>
  <c r="M500" i="1"/>
  <c r="M501" i="1"/>
  <c r="M855" i="1"/>
  <c r="M473" i="1"/>
  <c r="M474" i="1"/>
  <c r="M502" i="1"/>
  <c r="M503" i="1"/>
  <c r="M861" i="1"/>
  <c r="M475" i="1"/>
  <c r="M476" i="1"/>
  <c r="M862" i="1"/>
  <c r="M479" i="1"/>
  <c r="M480" i="1"/>
  <c r="M506" i="1"/>
  <c r="M507" i="1"/>
  <c r="M856" i="1"/>
  <c r="M481" i="1"/>
  <c r="M482" i="1"/>
  <c r="M508" i="1"/>
  <c r="M509" i="1"/>
  <c r="M857" i="1"/>
  <c r="M483" i="1"/>
  <c r="M484" i="1"/>
  <c r="M510" i="1"/>
  <c r="M511" i="1"/>
  <c r="M858" i="1"/>
  <c r="M485" i="1"/>
  <c r="M271" i="1"/>
  <c r="M486" i="1"/>
  <c r="M859" i="1"/>
  <c r="M487" i="1"/>
  <c r="M488" i="1"/>
  <c r="M512" i="1"/>
  <c r="M513" i="1"/>
  <c r="M860" i="1"/>
  <c r="M852" i="1"/>
  <c r="M874" i="1"/>
  <c r="L477" i="1"/>
  <c r="L478" i="1"/>
  <c r="L16" i="1"/>
  <c r="L231" i="1"/>
  <c r="L136" i="1"/>
  <c r="L504" i="1"/>
  <c r="L505" i="1"/>
  <c r="L517" i="1"/>
  <c r="L863" i="1"/>
  <c r="L467" i="1"/>
  <c r="L468" i="1"/>
  <c r="L498" i="1"/>
  <c r="L499" i="1"/>
  <c r="L853" i="1"/>
  <c r="L469" i="1"/>
  <c r="L17" i="1"/>
  <c r="L250" i="1"/>
  <c r="L470" i="1"/>
  <c r="L854" i="1"/>
  <c r="L471" i="1"/>
  <c r="L472" i="1"/>
  <c r="L500" i="1"/>
  <c r="L501" i="1"/>
  <c r="L855" i="1"/>
  <c r="L473" i="1"/>
  <c r="L474" i="1"/>
  <c r="L502" i="1"/>
  <c r="L503" i="1"/>
  <c r="L861" i="1"/>
  <c r="L475" i="1"/>
  <c r="L476" i="1"/>
  <c r="L862" i="1"/>
  <c r="L479" i="1"/>
  <c r="L480" i="1"/>
  <c r="L506" i="1"/>
  <c r="L507" i="1"/>
  <c r="L856" i="1"/>
  <c r="L481" i="1"/>
  <c r="L482" i="1"/>
  <c r="L508" i="1"/>
  <c r="L509" i="1"/>
  <c r="L857" i="1"/>
  <c r="L483" i="1"/>
  <c r="L484" i="1"/>
  <c r="L510" i="1"/>
  <c r="L511" i="1"/>
  <c r="L858" i="1"/>
  <c r="L485" i="1"/>
  <c r="L271" i="1"/>
  <c r="L486" i="1"/>
  <c r="L859" i="1"/>
  <c r="L487" i="1"/>
  <c r="L488" i="1"/>
  <c r="L512" i="1"/>
  <c r="L513" i="1"/>
  <c r="L860" i="1"/>
  <c r="L852" i="1"/>
  <c r="L874" i="1"/>
  <c r="K477" i="1"/>
  <c r="K478" i="1"/>
  <c r="K16" i="1"/>
  <c r="K231" i="1"/>
  <c r="K136" i="1"/>
  <c r="K504" i="1"/>
  <c r="K505" i="1"/>
  <c r="K517" i="1"/>
  <c r="K863" i="1"/>
  <c r="K467" i="1"/>
  <c r="K468" i="1"/>
  <c r="K498" i="1"/>
  <c r="K499" i="1"/>
  <c r="K853" i="1"/>
  <c r="K469" i="1"/>
  <c r="K17" i="1"/>
  <c r="K250" i="1"/>
  <c r="K470" i="1"/>
  <c r="K854" i="1"/>
  <c r="K471" i="1"/>
  <c r="K472" i="1"/>
  <c r="K500" i="1"/>
  <c r="K501" i="1"/>
  <c r="K855" i="1"/>
  <c r="K473" i="1"/>
  <c r="K474" i="1"/>
  <c r="K502" i="1"/>
  <c r="K503" i="1"/>
  <c r="K861" i="1"/>
  <c r="K475" i="1"/>
  <c r="K476" i="1"/>
  <c r="K862" i="1"/>
  <c r="K479" i="1"/>
  <c r="K480" i="1"/>
  <c r="K506" i="1"/>
  <c r="K507" i="1"/>
  <c r="K856" i="1"/>
  <c r="K481" i="1"/>
  <c r="K482" i="1"/>
  <c r="K508" i="1"/>
  <c r="K509" i="1"/>
  <c r="K857" i="1"/>
  <c r="K483" i="1"/>
  <c r="K484" i="1"/>
  <c r="K510" i="1"/>
  <c r="K511" i="1"/>
  <c r="K858" i="1"/>
  <c r="K485" i="1"/>
  <c r="K271" i="1"/>
  <c r="K486" i="1"/>
  <c r="K859" i="1"/>
  <c r="K487" i="1"/>
  <c r="K488" i="1"/>
  <c r="K512" i="1"/>
  <c r="K513" i="1"/>
  <c r="K860" i="1"/>
  <c r="K852" i="1"/>
  <c r="K874" i="1"/>
  <c r="J477" i="1"/>
  <c r="J478" i="1"/>
  <c r="J16" i="1"/>
  <c r="J231" i="1"/>
  <c r="J136" i="1"/>
  <c r="J504" i="1"/>
  <c r="J505" i="1"/>
  <c r="J517" i="1"/>
  <c r="J863" i="1"/>
  <c r="J467" i="1"/>
  <c r="J468" i="1"/>
  <c r="J498" i="1"/>
  <c r="J499" i="1"/>
  <c r="J853" i="1"/>
  <c r="J469" i="1"/>
  <c r="J17" i="1"/>
  <c r="J250" i="1"/>
  <c r="J470" i="1"/>
  <c r="J854" i="1"/>
  <c r="J471" i="1"/>
  <c r="J472" i="1"/>
  <c r="J500" i="1"/>
  <c r="J501" i="1"/>
  <c r="J855" i="1"/>
  <c r="J473" i="1"/>
  <c r="J474" i="1"/>
  <c r="J502" i="1"/>
  <c r="J503" i="1"/>
  <c r="J861" i="1"/>
  <c r="J475" i="1"/>
  <c r="J476" i="1"/>
  <c r="J862" i="1"/>
  <c r="J479" i="1"/>
  <c r="J480" i="1"/>
  <c r="J506" i="1"/>
  <c r="J507" i="1"/>
  <c r="J856" i="1"/>
  <c r="J481" i="1"/>
  <c r="J482" i="1"/>
  <c r="J508" i="1"/>
  <c r="J509" i="1"/>
  <c r="J857" i="1"/>
  <c r="J483" i="1"/>
  <c r="J484" i="1"/>
  <c r="J510" i="1"/>
  <c r="J511" i="1"/>
  <c r="J858" i="1"/>
  <c r="J485" i="1"/>
  <c r="J271" i="1"/>
  <c r="J486" i="1"/>
  <c r="J859" i="1"/>
  <c r="J487" i="1"/>
  <c r="J488" i="1"/>
  <c r="J512" i="1"/>
  <c r="J513" i="1"/>
  <c r="J860" i="1"/>
  <c r="J852" i="1"/>
  <c r="J874" i="1"/>
  <c r="I477" i="1"/>
  <c r="I478" i="1"/>
  <c r="I16" i="1"/>
  <c r="I231" i="1"/>
  <c r="I136" i="1"/>
  <c r="I504" i="1"/>
  <c r="I505" i="1"/>
  <c r="I517" i="1"/>
  <c r="I863" i="1"/>
  <c r="I467" i="1"/>
  <c r="I468" i="1"/>
  <c r="I498" i="1"/>
  <c r="I499" i="1"/>
  <c r="I853" i="1"/>
  <c r="I469" i="1"/>
  <c r="I17" i="1"/>
  <c r="I250" i="1"/>
  <c r="I470" i="1"/>
  <c r="I854" i="1"/>
  <c r="I471" i="1"/>
  <c r="I472" i="1"/>
  <c r="I500" i="1"/>
  <c r="I501" i="1"/>
  <c r="I855" i="1"/>
  <c r="I473" i="1"/>
  <c r="I474" i="1"/>
  <c r="I502" i="1"/>
  <c r="I503" i="1"/>
  <c r="I861" i="1"/>
  <c r="I475" i="1"/>
  <c r="I476" i="1"/>
  <c r="I862" i="1"/>
  <c r="I479" i="1"/>
  <c r="I480" i="1"/>
  <c r="I506" i="1"/>
  <c r="I507" i="1"/>
  <c r="I856" i="1"/>
  <c r="I481" i="1"/>
  <c r="I482" i="1"/>
  <c r="I508" i="1"/>
  <c r="I509" i="1"/>
  <c r="I857" i="1"/>
  <c r="I483" i="1"/>
  <c r="I484" i="1"/>
  <c r="I510" i="1"/>
  <c r="I511" i="1"/>
  <c r="I858" i="1"/>
  <c r="I485" i="1"/>
  <c r="I271" i="1"/>
  <c r="I486" i="1"/>
  <c r="I859" i="1"/>
  <c r="I487" i="1"/>
  <c r="I488" i="1"/>
  <c r="I512" i="1"/>
  <c r="I513" i="1"/>
  <c r="I860" i="1"/>
  <c r="I852" i="1"/>
  <c r="I874" i="1"/>
  <c r="H477" i="1"/>
  <c r="H478" i="1"/>
  <c r="H16" i="1"/>
  <c r="H231" i="1"/>
  <c r="H136" i="1"/>
  <c r="H504" i="1"/>
  <c r="H505" i="1"/>
  <c r="H517" i="1"/>
  <c r="H863" i="1"/>
  <c r="H467" i="1"/>
  <c r="H468" i="1"/>
  <c r="H498" i="1"/>
  <c r="H499" i="1"/>
  <c r="H853" i="1"/>
  <c r="H469" i="1"/>
  <c r="H17" i="1"/>
  <c r="H250" i="1"/>
  <c r="H470" i="1"/>
  <c r="H854" i="1"/>
  <c r="H471" i="1"/>
  <c r="H472" i="1"/>
  <c r="H500" i="1"/>
  <c r="H501" i="1"/>
  <c r="H855" i="1"/>
  <c r="H473" i="1"/>
  <c r="H474" i="1"/>
  <c r="H502" i="1"/>
  <c r="H503" i="1"/>
  <c r="H861" i="1"/>
  <c r="H475" i="1"/>
  <c r="H476" i="1"/>
  <c r="H862" i="1"/>
  <c r="H479" i="1"/>
  <c r="H480" i="1"/>
  <c r="H506" i="1"/>
  <c r="H507" i="1"/>
  <c r="H856" i="1"/>
  <c r="H481" i="1"/>
  <c r="H482" i="1"/>
  <c r="H508" i="1"/>
  <c r="H509" i="1"/>
  <c r="H857" i="1"/>
  <c r="H483" i="1"/>
  <c r="H484" i="1"/>
  <c r="H510" i="1"/>
  <c r="H511" i="1"/>
  <c r="H858" i="1"/>
  <c r="H485" i="1"/>
  <c r="H271" i="1"/>
  <c r="H486" i="1"/>
  <c r="H859" i="1"/>
  <c r="H487" i="1"/>
  <c r="H488" i="1"/>
  <c r="H512" i="1"/>
  <c r="H513" i="1"/>
  <c r="H860" i="1"/>
  <c r="H852" i="1"/>
  <c r="H874" i="1"/>
  <c r="G477" i="1"/>
  <c r="G478" i="1"/>
  <c r="G16" i="1"/>
  <c r="G231" i="1"/>
  <c r="G136" i="1"/>
  <c r="G504" i="1"/>
  <c r="G505" i="1"/>
  <c r="G517" i="1"/>
  <c r="G863" i="1"/>
  <c r="G467" i="1"/>
  <c r="G468" i="1"/>
  <c r="G498" i="1"/>
  <c r="G499" i="1"/>
  <c r="G853" i="1"/>
  <c r="G469" i="1"/>
  <c r="G17" i="1"/>
  <c r="G250" i="1"/>
  <c r="G470" i="1"/>
  <c r="G854" i="1"/>
  <c r="G471" i="1"/>
  <c r="G472" i="1"/>
  <c r="G500" i="1"/>
  <c r="G501" i="1"/>
  <c r="G855" i="1"/>
  <c r="G473" i="1"/>
  <c r="G474" i="1"/>
  <c r="G502" i="1"/>
  <c r="G503" i="1"/>
  <c r="G861" i="1"/>
  <c r="G475" i="1"/>
  <c r="G476" i="1"/>
  <c r="G862" i="1"/>
  <c r="G479" i="1"/>
  <c r="G480" i="1"/>
  <c r="G506" i="1"/>
  <c r="G507" i="1"/>
  <c r="G856" i="1"/>
  <c r="G481" i="1"/>
  <c r="G482" i="1"/>
  <c r="G508" i="1"/>
  <c r="G509" i="1"/>
  <c r="G857" i="1"/>
  <c r="G483" i="1"/>
  <c r="G484" i="1"/>
  <c r="G510" i="1"/>
  <c r="G511" i="1"/>
  <c r="G858" i="1"/>
  <c r="G485" i="1"/>
  <c r="G271" i="1"/>
  <c r="G486" i="1"/>
  <c r="G859" i="1"/>
  <c r="G487" i="1"/>
  <c r="G488" i="1"/>
  <c r="G512" i="1"/>
  <c r="G513" i="1"/>
  <c r="G860" i="1"/>
  <c r="G852" i="1"/>
  <c r="G874" i="1"/>
  <c r="F477" i="1"/>
  <c r="F478" i="1"/>
  <c r="F16" i="1"/>
  <c r="F231" i="1"/>
  <c r="F136" i="1"/>
  <c r="F504" i="1"/>
  <c r="F505" i="1"/>
  <c r="F517" i="1"/>
  <c r="F863" i="1"/>
  <c r="F467" i="1"/>
  <c r="F468" i="1"/>
  <c r="F498" i="1"/>
  <c r="F499" i="1"/>
  <c r="F853" i="1"/>
  <c r="F469" i="1"/>
  <c r="F17" i="1"/>
  <c r="F250" i="1"/>
  <c r="F470" i="1"/>
  <c r="F854" i="1"/>
  <c r="F471" i="1"/>
  <c r="F472" i="1"/>
  <c r="F500" i="1"/>
  <c r="F501" i="1"/>
  <c r="F855" i="1"/>
  <c r="F473" i="1"/>
  <c r="F474" i="1"/>
  <c r="F502" i="1"/>
  <c r="F503" i="1"/>
  <c r="F861" i="1"/>
  <c r="F475" i="1"/>
  <c r="F476" i="1"/>
  <c r="F862" i="1"/>
  <c r="F479" i="1"/>
  <c r="F480" i="1"/>
  <c r="F506" i="1"/>
  <c r="F507" i="1"/>
  <c r="F856" i="1"/>
  <c r="F481" i="1"/>
  <c r="F482" i="1"/>
  <c r="F508" i="1"/>
  <c r="F509" i="1"/>
  <c r="F857" i="1"/>
  <c r="F483" i="1"/>
  <c r="F484" i="1"/>
  <c r="F510" i="1"/>
  <c r="F511" i="1"/>
  <c r="F858" i="1"/>
  <c r="F485" i="1"/>
  <c r="F271" i="1"/>
  <c r="F486" i="1"/>
  <c r="F859" i="1"/>
  <c r="F487" i="1"/>
  <c r="F488" i="1"/>
  <c r="F512" i="1"/>
  <c r="F513" i="1"/>
  <c r="F860" i="1"/>
  <c r="F852" i="1"/>
  <c r="F874" i="1"/>
  <c r="E477" i="1"/>
  <c r="E478" i="1"/>
  <c r="E16" i="1"/>
  <c r="E231" i="1"/>
  <c r="E136" i="1"/>
  <c r="E504" i="1"/>
  <c r="E505" i="1"/>
  <c r="E517" i="1"/>
  <c r="E863" i="1"/>
  <c r="E467" i="1"/>
  <c r="E468" i="1"/>
  <c r="E498" i="1"/>
  <c r="E499" i="1"/>
  <c r="E853" i="1"/>
  <c r="E469" i="1"/>
  <c r="E17" i="1"/>
  <c r="E250" i="1"/>
  <c r="E470" i="1"/>
  <c r="E854" i="1"/>
  <c r="E471" i="1"/>
  <c r="E472" i="1"/>
  <c r="E500" i="1"/>
  <c r="E501" i="1"/>
  <c r="E855" i="1"/>
  <c r="E473" i="1"/>
  <c r="E474" i="1"/>
  <c r="E502" i="1"/>
  <c r="E503" i="1"/>
  <c r="E861" i="1"/>
  <c r="E475" i="1"/>
  <c r="E476" i="1"/>
  <c r="E862" i="1"/>
  <c r="E479" i="1"/>
  <c r="E480" i="1"/>
  <c r="E506" i="1"/>
  <c r="E507" i="1"/>
  <c r="E856" i="1"/>
  <c r="E481" i="1"/>
  <c r="E482" i="1"/>
  <c r="E508" i="1"/>
  <c r="E509" i="1"/>
  <c r="E857" i="1"/>
  <c r="E483" i="1"/>
  <c r="E484" i="1"/>
  <c r="E510" i="1"/>
  <c r="E511" i="1"/>
  <c r="E858" i="1"/>
  <c r="E485" i="1"/>
  <c r="E271" i="1"/>
  <c r="E486" i="1"/>
  <c r="E859" i="1"/>
  <c r="E487" i="1"/>
  <c r="E488" i="1"/>
  <c r="E512" i="1"/>
  <c r="E513" i="1"/>
  <c r="E860" i="1"/>
  <c r="E852" i="1"/>
  <c r="E874" i="1"/>
  <c r="D477" i="1"/>
  <c r="D478" i="1"/>
  <c r="D16" i="1"/>
  <c r="D231" i="1"/>
  <c r="D136" i="1"/>
  <c r="D504" i="1"/>
  <c r="D505" i="1"/>
  <c r="D517" i="1"/>
  <c r="D863" i="1"/>
  <c r="D467" i="1"/>
  <c r="D468" i="1"/>
  <c r="D498" i="1"/>
  <c r="D499" i="1"/>
  <c r="D853" i="1"/>
  <c r="D469" i="1"/>
  <c r="D17" i="1"/>
  <c r="D250" i="1"/>
  <c r="D470" i="1"/>
  <c r="D854" i="1"/>
  <c r="D471" i="1"/>
  <c r="D472" i="1"/>
  <c r="D500" i="1"/>
  <c r="D501" i="1"/>
  <c r="D855" i="1"/>
  <c r="D473" i="1"/>
  <c r="D474" i="1"/>
  <c r="D502" i="1"/>
  <c r="D503" i="1"/>
  <c r="D861" i="1"/>
  <c r="D475" i="1"/>
  <c r="D476" i="1"/>
  <c r="D862" i="1"/>
  <c r="D479" i="1"/>
  <c r="D480" i="1"/>
  <c r="D506" i="1"/>
  <c r="D507" i="1"/>
  <c r="D856" i="1"/>
  <c r="D481" i="1"/>
  <c r="D482" i="1"/>
  <c r="D508" i="1"/>
  <c r="D509" i="1"/>
  <c r="D857" i="1"/>
  <c r="D483" i="1"/>
  <c r="D484" i="1"/>
  <c r="D510" i="1"/>
  <c r="D511" i="1"/>
  <c r="D858" i="1"/>
  <c r="D485" i="1"/>
  <c r="D271" i="1"/>
  <c r="D486" i="1"/>
  <c r="D859" i="1"/>
  <c r="D487" i="1"/>
  <c r="D488" i="1"/>
  <c r="D512" i="1"/>
  <c r="D513" i="1"/>
  <c r="D860" i="1"/>
  <c r="D852" i="1"/>
  <c r="D874" i="1"/>
  <c r="AF873" i="1"/>
  <c r="AE873" i="1"/>
  <c r="AD873" i="1"/>
  <c r="AC873" i="1"/>
  <c r="AB873" i="1"/>
  <c r="AA873" i="1"/>
  <c r="Z873" i="1"/>
  <c r="Y873" i="1"/>
  <c r="X873" i="1"/>
  <c r="W873" i="1"/>
  <c r="V873" i="1"/>
  <c r="U873" i="1"/>
  <c r="T873" i="1"/>
  <c r="S873" i="1"/>
  <c r="R873" i="1"/>
  <c r="Q873" i="1"/>
  <c r="P873" i="1"/>
  <c r="O873" i="1"/>
  <c r="N873" i="1"/>
  <c r="M873" i="1"/>
  <c r="L873" i="1"/>
  <c r="K873" i="1"/>
  <c r="J873" i="1"/>
  <c r="I873" i="1"/>
  <c r="H873" i="1"/>
  <c r="G873" i="1"/>
  <c r="F873" i="1"/>
  <c r="E873" i="1"/>
  <c r="D873" i="1"/>
  <c r="AF872" i="1"/>
  <c r="AE872" i="1"/>
  <c r="AD872" i="1"/>
  <c r="AC872" i="1"/>
  <c r="AB872" i="1"/>
  <c r="AA872" i="1"/>
  <c r="Z872" i="1"/>
  <c r="Y872" i="1"/>
  <c r="X872" i="1"/>
  <c r="W872" i="1"/>
  <c r="V872" i="1"/>
  <c r="U872" i="1"/>
  <c r="T872" i="1"/>
  <c r="S872" i="1"/>
  <c r="R872" i="1"/>
  <c r="Q872" i="1"/>
  <c r="P872" i="1"/>
  <c r="O872" i="1"/>
  <c r="N872" i="1"/>
  <c r="M872" i="1"/>
  <c r="L872" i="1"/>
  <c r="K872" i="1"/>
  <c r="J872" i="1"/>
  <c r="I872" i="1"/>
  <c r="H872" i="1"/>
  <c r="G872" i="1"/>
  <c r="F872" i="1"/>
  <c r="E872" i="1"/>
  <c r="D872" i="1"/>
  <c r="AF871" i="1"/>
  <c r="AE871" i="1"/>
  <c r="AD871" i="1"/>
  <c r="AC871" i="1"/>
  <c r="AB871" i="1"/>
  <c r="AA871" i="1"/>
  <c r="Z871" i="1"/>
  <c r="Y871" i="1"/>
  <c r="X871" i="1"/>
  <c r="W871" i="1"/>
  <c r="V871" i="1"/>
  <c r="U871" i="1"/>
  <c r="T871" i="1"/>
  <c r="S871" i="1"/>
  <c r="R871" i="1"/>
  <c r="Q871" i="1"/>
  <c r="P871" i="1"/>
  <c r="O871" i="1"/>
  <c r="N871" i="1"/>
  <c r="M871" i="1"/>
  <c r="L871" i="1"/>
  <c r="K871" i="1"/>
  <c r="J871" i="1"/>
  <c r="I871" i="1"/>
  <c r="H871" i="1"/>
  <c r="G871" i="1"/>
  <c r="F871" i="1"/>
  <c r="E871" i="1"/>
  <c r="D871" i="1"/>
  <c r="AF870" i="1"/>
  <c r="AE870" i="1"/>
  <c r="AD870" i="1"/>
  <c r="AC870" i="1"/>
  <c r="AB870" i="1"/>
  <c r="AA870" i="1"/>
  <c r="Z870" i="1"/>
  <c r="Y870" i="1"/>
  <c r="X870" i="1"/>
  <c r="W870" i="1"/>
  <c r="V870" i="1"/>
  <c r="U870" i="1"/>
  <c r="T870" i="1"/>
  <c r="S870" i="1"/>
  <c r="R870" i="1"/>
  <c r="Q870" i="1"/>
  <c r="P870" i="1"/>
  <c r="O870" i="1"/>
  <c r="N870" i="1"/>
  <c r="M870" i="1"/>
  <c r="L870" i="1"/>
  <c r="K870" i="1"/>
  <c r="J870" i="1"/>
  <c r="I870" i="1"/>
  <c r="H870" i="1"/>
  <c r="G870" i="1"/>
  <c r="F870" i="1"/>
  <c r="E870" i="1"/>
  <c r="D870" i="1"/>
  <c r="AF869" i="1"/>
  <c r="AE869" i="1"/>
  <c r="AD869" i="1"/>
  <c r="AC869" i="1"/>
  <c r="AB869" i="1"/>
  <c r="AA869" i="1"/>
  <c r="Z869" i="1"/>
  <c r="Y869" i="1"/>
  <c r="X869" i="1"/>
  <c r="W869" i="1"/>
  <c r="V869" i="1"/>
  <c r="U869" i="1"/>
  <c r="T869" i="1"/>
  <c r="S869" i="1"/>
  <c r="R869" i="1"/>
  <c r="Q869" i="1"/>
  <c r="P869" i="1"/>
  <c r="O869" i="1"/>
  <c r="N869" i="1"/>
  <c r="M869" i="1"/>
  <c r="L869" i="1"/>
  <c r="K869" i="1"/>
  <c r="J869" i="1"/>
  <c r="I869" i="1"/>
  <c r="H869" i="1"/>
  <c r="G869" i="1"/>
  <c r="F869" i="1"/>
  <c r="E869" i="1"/>
  <c r="D869" i="1"/>
  <c r="AF868" i="1"/>
  <c r="AE868" i="1"/>
  <c r="AD868" i="1"/>
  <c r="AC868" i="1"/>
  <c r="AB868" i="1"/>
  <c r="AA868" i="1"/>
  <c r="Z868" i="1"/>
  <c r="Y868" i="1"/>
  <c r="X868" i="1"/>
  <c r="W868" i="1"/>
  <c r="V868" i="1"/>
  <c r="U868" i="1"/>
  <c r="T868" i="1"/>
  <c r="S868" i="1"/>
  <c r="R868" i="1"/>
  <c r="Q868" i="1"/>
  <c r="P868" i="1"/>
  <c r="O868" i="1"/>
  <c r="N868" i="1"/>
  <c r="M868" i="1"/>
  <c r="L868" i="1"/>
  <c r="K868" i="1"/>
  <c r="J868" i="1"/>
  <c r="I868" i="1"/>
  <c r="H868" i="1"/>
  <c r="G868" i="1"/>
  <c r="F868" i="1"/>
  <c r="E868" i="1"/>
  <c r="D868" i="1"/>
  <c r="AF867" i="1"/>
  <c r="AE867" i="1"/>
  <c r="AD867" i="1"/>
  <c r="AC867" i="1"/>
  <c r="AB867" i="1"/>
  <c r="AA867" i="1"/>
  <c r="Z867" i="1"/>
  <c r="Y867" i="1"/>
  <c r="X867" i="1"/>
  <c r="W867" i="1"/>
  <c r="V867" i="1"/>
  <c r="U867" i="1"/>
  <c r="T867" i="1"/>
  <c r="S867" i="1"/>
  <c r="R867" i="1"/>
  <c r="Q867" i="1"/>
  <c r="P867" i="1"/>
  <c r="O867" i="1"/>
  <c r="N867" i="1"/>
  <c r="M867" i="1"/>
  <c r="L867" i="1"/>
  <c r="K867" i="1"/>
  <c r="J867" i="1"/>
  <c r="I867" i="1"/>
  <c r="H867" i="1"/>
  <c r="G867" i="1"/>
  <c r="F867" i="1"/>
  <c r="E867" i="1"/>
  <c r="D867" i="1"/>
  <c r="AF866" i="1"/>
  <c r="AE866" i="1"/>
  <c r="AD866" i="1"/>
  <c r="AC866" i="1"/>
  <c r="AB866" i="1"/>
  <c r="AA866" i="1"/>
  <c r="Z866" i="1"/>
  <c r="Y866" i="1"/>
  <c r="X866" i="1"/>
  <c r="W866" i="1"/>
  <c r="V866" i="1"/>
  <c r="U866" i="1"/>
  <c r="T866" i="1"/>
  <c r="S866" i="1"/>
  <c r="R866" i="1"/>
  <c r="Q866" i="1"/>
  <c r="P866" i="1"/>
  <c r="O866" i="1"/>
  <c r="N866" i="1"/>
  <c r="M866" i="1"/>
  <c r="L866" i="1"/>
  <c r="K866" i="1"/>
  <c r="J866" i="1"/>
  <c r="I866" i="1"/>
  <c r="H866" i="1"/>
  <c r="G866" i="1"/>
  <c r="F866" i="1"/>
  <c r="E866" i="1"/>
  <c r="D866" i="1"/>
  <c r="AF865" i="1"/>
  <c r="AE865" i="1"/>
  <c r="AD865" i="1"/>
  <c r="AC865" i="1"/>
  <c r="AB865" i="1"/>
  <c r="AA865" i="1"/>
  <c r="Z865" i="1"/>
  <c r="Y865" i="1"/>
  <c r="X865" i="1"/>
  <c r="W865" i="1"/>
  <c r="V865" i="1"/>
  <c r="U865" i="1"/>
  <c r="T865" i="1"/>
  <c r="S865" i="1"/>
  <c r="R865" i="1"/>
  <c r="Q865" i="1"/>
  <c r="P865" i="1"/>
  <c r="O865" i="1"/>
  <c r="N865" i="1"/>
  <c r="M865" i="1"/>
  <c r="L865" i="1"/>
  <c r="K865" i="1"/>
  <c r="J865" i="1"/>
  <c r="I865" i="1"/>
  <c r="H865" i="1"/>
  <c r="G865" i="1"/>
  <c r="F865" i="1"/>
  <c r="E865" i="1"/>
  <c r="D865" i="1"/>
  <c r="AF864" i="1"/>
  <c r="AE864" i="1"/>
  <c r="AD864" i="1"/>
  <c r="AC864" i="1"/>
  <c r="AB864" i="1"/>
  <c r="AA864" i="1"/>
  <c r="Z864" i="1"/>
  <c r="Y864" i="1"/>
  <c r="X864" i="1"/>
  <c r="W864" i="1"/>
  <c r="V864" i="1"/>
  <c r="U864" i="1"/>
  <c r="T864" i="1"/>
  <c r="S864" i="1"/>
  <c r="R864" i="1"/>
  <c r="Q864" i="1"/>
  <c r="P864" i="1"/>
  <c r="O864" i="1"/>
  <c r="N864" i="1"/>
  <c r="M864" i="1"/>
  <c r="L864" i="1"/>
  <c r="K864" i="1"/>
  <c r="J864" i="1"/>
  <c r="I864" i="1"/>
  <c r="H864" i="1"/>
  <c r="G864" i="1"/>
  <c r="F864" i="1"/>
  <c r="E864" i="1"/>
  <c r="D864" i="1"/>
  <c r="C477" i="1"/>
  <c r="C478" i="1"/>
  <c r="C16" i="1"/>
  <c r="C231" i="1"/>
  <c r="C136" i="1"/>
  <c r="C504" i="1"/>
  <c r="C505" i="1"/>
  <c r="C517" i="1"/>
  <c r="C863" i="1"/>
  <c r="C467" i="1"/>
  <c r="C468" i="1"/>
  <c r="C498" i="1"/>
  <c r="C499" i="1"/>
  <c r="C853" i="1"/>
  <c r="C469" i="1"/>
  <c r="C17" i="1"/>
  <c r="C250" i="1"/>
  <c r="C470" i="1"/>
  <c r="C854" i="1"/>
  <c r="C471" i="1"/>
  <c r="C472" i="1"/>
  <c r="C500" i="1"/>
  <c r="C501" i="1"/>
  <c r="C855" i="1"/>
  <c r="C473" i="1"/>
  <c r="C474" i="1"/>
  <c r="C502" i="1"/>
  <c r="C503" i="1"/>
  <c r="C861" i="1"/>
  <c r="C475" i="1"/>
  <c r="C476" i="1"/>
  <c r="C862" i="1"/>
  <c r="C479" i="1"/>
  <c r="C480" i="1"/>
  <c r="C506" i="1"/>
  <c r="C507" i="1"/>
  <c r="C856" i="1"/>
  <c r="C481" i="1"/>
  <c r="C482" i="1"/>
  <c r="C508" i="1"/>
  <c r="C509" i="1"/>
  <c r="C857" i="1"/>
  <c r="C483" i="1"/>
  <c r="C484" i="1"/>
  <c r="C510" i="1"/>
  <c r="C511" i="1"/>
  <c r="C858" i="1"/>
  <c r="C485" i="1"/>
  <c r="C271" i="1"/>
  <c r="C486" i="1"/>
  <c r="C859" i="1"/>
  <c r="C487" i="1"/>
  <c r="C488" i="1"/>
  <c r="C512" i="1"/>
  <c r="C513" i="1"/>
  <c r="C860" i="1"/>
  <c r="C852" i="1"/>
  <c r="C874" i="1"/>
  <c r="C873" i="1"/>
  <c r="C872" i="1"/>
  <c r="C871" i="1"/>
  <c r="C870" i="1"/>
  <c r="C869" i="1"/>
  <c r="C868" i="1"/>
  <c r="C867" i="1"/>
  <c r="C866" i="1"/>
  <c r="C865" i="1"/>
  <c r="C864" i="1"/>
  <c r="AF668" i="1"/>
  <c r="AF669" i="1"/>
  <c r="AF655" i="1"/>
  <c r="AF665" i="1"/>
  <c r="AF666" i="1"/>
  <c r="AF677" i="1"/>
  <c r="AF667" i="1"/>
  <c r="AF85" i="1"/>
  <c r="AF489" i="1"/>
  <c r="AF490" i="1"/>
  <c r="AF21" i="1"/>
  <c r="AF20" i="1"/>
  <c r="AF252" i="1"/>
  <c r="AF491" i="1"/>
  <c r="AF492" i="1"/>
  <c r="AF493" i="1"/>
  <c r="AF494" i="1"/>
  <c r="AF261" i="1"/>
  <c r="AF265" i="1"/>
  <c r="AF495" i="1"/>
  <c r="AF496" i="1"/>
  <c r="AF137" i="1"/>
  <c r="AF138" i="1"/>
  <c r="AF70" i="1"/>
  <c r="AF518" i="1"/>
  <c r="AF519" i="1"/>
  <c r="AF516" i="1"/>
  <c r="AF78" i="1"/>
  <c r="AF86" i="1"/>
  <c r="AF83" i="1"/>
  <c r="AF82" i="1"/>
  <c r="AF955" i="1"/>
  <c r="AE668" i="1"/>
  <c r="AE669" i="1"/>
  <c r="AE655" i="1"/>
  <c r="AE665" i="1"/>
  <c r="AE666" i="1"/>
  <c r="AE677" i="1"/>
  <c r="AE667" i="1"/>
  <c r="AE85" i="1"/>
  <c r="AE489" i="1"/>
  <c r="AE490" i="1"/>
  <c r="AE21" i="1"/>
  <c r="AE20" i="1"/>
  <c r="AE252" i="1"/>
  <c r="AE491" i="1"/>
  <c r="AE492" i="1"/>
  <c r="AE493" i="1"/>
  <c r="AE494" i="1"/>
  <c r="AE261" i="1"/>
  <c r="AE265" i="1"/>
  <c r="AE495" i="1"/>
  <c r="AE496" i="1"/>
  <c r="AE137" i="1"/>
  <c r="AE138" i="1"/>
  <c r="AE70" i="1"/>
  <c r="AE518" i="1"/>
  <c r="AE519" i="1"/>
  <c r="AE516" i="1"/>
  <c r="AE78" i="1"/>
  <c r="AE86" i="1"/>
  <c r="AE83" i="1"/>
  <c r="AE82" i="1"/>
  <c r="AE955" i="1"/>
  <c r="AD668" i="1"/>
  <c r="AD669" i="1"/>
  <c r="AD655" i="1"/>
  <c r="AD665" i="1"/>
  <c r="AD666" i="1"/>
  <c r="AD677" i="1"/>
  <c r="AD667" i="1"/>
  <c r="AD85" i="1"/>
  <c r="AD489" i="1"/>
  <c r="AD490" i="1"/>
  <c r="AD21" i="1"/>
  <c r="AD20" i="1"/>
  <c r="AD252" i="1"/>
  <c r="AD491" i="1"/>
  <c r="AD492" i="1"/>
  <c r="AD493" i="1"/>
  <c r="AD494" i="1"/>
  <c r="AD261" i="1"/>
  <c r="AD265" i="1"/>
  <c r="AD495" i="1"/>
  <c r="AD496" i="1"/>
  <c r="AD137" i="1"/>
  <c r="AD138" i="1"/>
  <c r="AD70" i="1"/>
  <c r="AD518" i="1"/>
  <c r="AD519" i="1"/>
  <c r="AD516" i="1"/>
  <c r="AD78" i="1"/>
  <c r="AD86" i="1"/>
  <c r="AD83" i="1"/>
  <c r="AD82" i="1"/>
  <c r="AD955" i="1"/>
  <c r="AC668" i="1"/>
  <c r="AC669" i="1"/>
  <c r="AC655" i="1"/>
  <c r="AC665" i="1"/>
  <c r="AC666" i="1"/>
  <c r="AC677" i="1"/>
  <c r="AC667" i="1"/>
  <c r="AC85" i="1"/>
  <c r="AC489" i="1"/>
  <c r="AC490" i="1"/>
  <c r="AC21" i="1"/>
  <c r="AC20" i="1"/>
  <c r="AC252" i="1"/>
  <c r="AC491" i="1"/>
  <c r="AC492" i="1"/>
  <c r="AC493" i="1"/>
  <c r="AC494" i="1"/>
  <c r="AC261" i="1"/>
  <c r="AC265" i="1"/>
  <c r="AC495" i="1"/>
  <c r="AC496" i="1"/>
  <c r="AC137" i="1"/>
  <c r="AC138" i="1"/>
  <c r="AC70" i="1"/>
  <c r="AC518" i="1"/>
  <c r="AC519" i="1"/>
  <c r="AC516" i="1"/>
  <c r="AC78" i="1"/>
  <c r="AC86" i="1"/>
  <c r="AC83" i="1"/>
  <c r="AC82" i="1"/>
  <c r="AC955" i="1"/>
  <c r="AB668" i="1"/>
  <c r="AB669" i="1"/>
  <c r="AB655" i="1"/>
  <c r="AB665" i="1"/>
  <c r="AB666" i="1"/>
  <c r="AB677" i="1"/>
  <c r="AB667" i="1"/>
  <c r="AB85" i="1"/>
  <c r="AB489" i="1"/>
  <c r="AB490" i="1"/>
  <c r="AB21" i="1"/>
  <c r="AB20" i="1"/>
  <c r="AB252" i="1"/>
  <c r="AB491" i="1"/>
  <c r="AB492" i="1"/>
  <c r="AB493" i="1"/>
  <c r="AB494" i="1"/>
  <c r="AB261" i="1"/>
  <c r="AB265" i="1"/>
  <c r="AB495" i="1"/>
  <c r="AB496" i="1"/>
  <c r="AB137" i="1"/>
  <c r="AB138" i="1"/>
  <c r="AB70" i="1"/>
  <c r="AB518" i="1"/>
  <c r="AB519" i="1"/>
  <c r="AB516" i="1"/>
  <c r="AB78" i="1"/>
  <c r="AB86" i="1"/>
  <c r="AB83" i="1"/>
  <c r="AB82" i="1"/>
  <c r="AB955" i="1"/>
  <c r="AA668" i="1"/>
  <c r="AA669" i="1"/>
  <c r="AA655" i="1"/>
  <c r="AA665" i="1"/>
  <c r="AA666" i="1"/>
  <c r="AA677" i="1"/>
  <c r="AA667" i="1"/>
  <c r="AA85" i="1"/>
  <c r="AA489" i="1"/>
  <c r="AA490" i="1"/>
  <c r="AA21" i="1"/>
  <c r="AA20" i="1"/>
  <c r="AA252" i="1"/>
  <c r="AA491" i="1"/>
  <c r="AA492" i="1"/>
  <c r="AA493" i="1"/>
  <c r="AA494" i="1"/>
  <c r="AA261" i="1"/>
  <c r="AA265" i="1"/>
  <c r="AA495" i="1"/>
  <c r="AA496" i="1"/>
  <c r="AA137" i="1"/>
  <c r="AA138" i="1"/>
  <c r="AA70" i="1"/>
  <c r="AA518" i="1"/>
  <c r="AA519" i="1"/>
  <c r="AA516" i="1"/>
  <c r="AA78" i="1"/>
  <c r="AA86" i="1"/>
  <c r="AA83" i="1"/>
  <c r="AA82" i="1"/>
  <c r="AA955" i="1"/>
  <c r="Z668" i="1"/>
  <c r="Z669" i="1"/>
  <c r="Z655" i="1"/>
  <c r="Z665" i="1"/>
  <c r="Z666" i="1"/>
  <c r="Z677" i="1"/>
  <c r="Z667" i="1"/>
  <c r="Z85" i="1"/>
  <c r="Z489" i="1"/>
  <c r="Z490" i="1"/>
  <c r="Z21" i="1"/>
  <c r="Z20" i="1"/>
  <c r="Z252" i="1"/>
  <c r="Z491" i="1"/>
  <c r="Z492" i="1"/>
  <c r="Z493" i="1"/>
  <c r="Z494" i="1"/>
  <c r="Z261" i="1"/>
  <c r="Z265" i="1"/>
  <c r="Z495" i="1"/>
  <c r="Z496" i="1"/>
  <c r="Z137" i="1"/>
  <c r="Z138" i="1"/>
  <c r="Z70" i="1"/>
  <c r="Z518" i="1"/>
  <c r="Z519" i="1"/>
  <c r="Z516" i="1"/>
  <c r="Z78" i="1"/>
  <c r="Z86" i="1"/>
  <c r="Z83" i="1"/>
  <c r="Z82" i="1"/>
  <c r="Z955" i="1"/>
  <c r="Y668" i="1"/>
  <c r="Y669" i="1"/>
  <c r="Y655" i="1"/>
  <c r="Y665" i="1"/>
  <c r="Y666" i="1"/>
  <c r="Y677" i="1"/>
  <c r="Y667" i="1"/>
  <c r="Y85" i="1"/>
  <c r="Y489" i="1"/>
  <c r="Y490" i="1"/>
  <c r="Y21" i="1"/>
  <c r="Y20" i="1"/>
  <c r="Y252" i="1"/>
  <c r="Y491" i="1"/>
  <c r="Y492" i="1"/>
  <c r="Y493" i="1"/>
  <c r="Y494" i="1"/>
  <c r="Y261" i="1"/>
  <c r="Y265" i="1"/>
  <c r="Y495" i="1"/>
  <c r="Y496" i="1"/>
  <c r="Y137" i="1"/>
  <c r="Y138" i="1"/>
  <c r="Y70" i="1"/>
  <c r="Y518" i="1"/>
  <c r="Y519" i="1"/>
  <c r="Y516" i="1"/>
  <c r="Y78" i="1"/>
  <c r="Y86" i="1"/>
  <c r="Y83" i="1"/>
  <c r="Y82" i="1"/>
  <c r="Y955" i="1"/>
  <c r="X668" i="1"/>
  <c r="X669" i="1"/>
  <c r="X655" i="1"/>
  <c r="X665" i="1"/>
  <c r="X666" i="1"/>
  <c r="X677" i="1"/>
  <c r="X667" i="1"/>
  <c r="X85" i="1"/>
  <c r="X489" i="1"/>
  <c r="X490" i="1"/>
  <c r="X21" i="1"/>
  <c r="X20" i="1"/>
  <c r="X252" i="1"/>
  <c r="X491" i="1"/>
  <c r="X492" i="1"/>
  <c r="X493" i="1"/>
  <c r="X494" i="1"/>
  <c r="X261" i="1"/>
  <c r="X265" i="1"/>
  <c r="X495" i="1"/>
  <c r="X496" i="1"/>
  <c r="X137" i="1"/>
  <c r="X138" i="1"/>
  <c r="X70" i="1"/>
  <c r="X518" i="1"/>
  <c r="X519" i="1"/>
  <c r="X516" i="1"/>
  <c r="X78" i="1"/>
  <c r="X86" i="1"/>
  <c r="X83" i="1"/>
  <c r="X82" i="1"/>
  <c r="X955" i="1"/>
  <c r="W668" i="1"/>
  <c r="W669" i="1"/>
  <c r="W655" i="1"/>
  <c r="W665" i="1"/>
  <c r="W666" i="1"/>
  <c r="W677" i="1"/>
  <c r="W667" i="1"/>
  <c r="W85" i="1"/>
  <c r="W489" i="1"/>
  <c r="W490" i="1"/>
  <c r="W21" i="1"/>
  <c r="W20" i="1"/>
  <c r="W252" i="1"/>
  <c r="W491" i="1"/>
  <c r="W492" i="1"/>
  <c r="W493" i="1"/>
  <c r="W494" i="1"/>
  <c r="W261" i="1"/>
  <c r="W265" i="1"/>
  <c r="W495" i="1"/>
  <c r="W496" i="1"/>
  <c r="W137" i="1"/>
  <c r="W138" i="1"/>
  <c r="W70" i="1"/>
  <c r="W518" i="1"/>
  <c r="W519" i="1"/>
  <c r="W516" i="1"/>
  <c r="W78" i="1"/>
  <c r="W86" i="1"/>
  <c r="W83" i="1"/>
  <c r="W82" i="1"/>
  <c r="W955" i="1"/>
  <c r="V668" i="1"/>
  <c r="V669" i="1"/>
  <c r="V655" i="1"/>
  <c r="V665" i="1"/>
  <c r="V666" i="1"/>
  <c r="V677" i="1"/>
  <c r="V667" i="1"/>
  <c r="V85" i="1"/>
  <c r="V489" i="1"/>
  <c r="V490" i="1"/>
  <c r="V21" i="1"/>
  <c r="V20" i="1"/>
  <c r="V252" i="1"/>
  <c r="V491" i="1"/>
  <c r="V492" i="1"/>
  <c r="V493" i="1"/>
  <c r="V494" i="1"/>
  <c r="V261" i="1"/>
  <c r="V265" i="1"/>
  <c r="V495" i="1"/>
  <c r="V496" i="1"/>
  <c r="V137" i="1"/>
  <c r="V138" i="1"/>
  <c r="V70" i="1"/>
  <c r="V518" i="1"/>
  <c r="V519" i="1"/>
  <c r="V516" i="1"/>
  <c r="V78" i="1"/>
  <c r="V86" i="1"/>
  <c r="V83" i="1"/>
  <c r="V82" i="1"/>
  <c r="V955" i="1"/>
  <c r="U668" i="1"/>
  <c r="U669" i="1"/>
  <c r="U655" i="1"/>
  <c r="U665" i="1"/>
  <c r="U666" i="1"/>
  <c r="U677" i="1"/>
  <c r="U667" i="1"/>
  <c r="U85" i="1"/>
  <c r="U489" i="1"/>
  <c r="U490" i="1"/>
  <c r="U21" i="1"/>
  <c r="U20" i="1"/>
  <c r="U252" i="1"/>
  <c r="U491" i="1"/>
  <c r="U492" i="1"/>
  <c r="U493" i="1"/>
  <c r="U494" i="1"/>
  <c r="U261" i="1"/>
  <c r="U265" i="1"/>
  <c r="U495" i="1"/>
  <c r="U496" i="1"/>
  <c r="U137" i="1"/>
  <c r="U138" i="1"/>
  <c r="U70" i="1"/>
  <c r="U518" i="1"/>
  <c r="U519" i="1"/>
  <c r="U516" i="1"/>
  <c r="U78" i="1"/>
  <c r="U86" i="1"/>
  <c r="U83" i="1"/>
  <c r="U82" i="1"/>
  <c r="U955" i="1"/>
  <c r="T668" i="1"/>
  <c r="T669" i="1"/>
  <c r="T655" i="1"/>
  <c r="T665" i="1"/>
  <c r="T666" i="1"/>
  <c r="T677" i="1"/>
  <c r="T667" i="1"/>
  <c r="T85" i="1"/>
  <c r="T489" i="1"/>
  <c r="T490" i="1"/>
  <c r="T21" i="1"/>
  <c r="T20" i="1"/>
  <c r="T252" i="1"/>
  <c r="T491" i="1"/>
  <c r="T492" i="1"/>
  <c r="T493" i="1"/>
  <c r="T494" i="1"/>
  <c r="T261" i="1"/>
  <c r="T265" i="1"/>
  <c r="T495" i="1"/>
  <c r="T496" i="1"/>
  <c r="T137" i="1"/>
  <c r="T138" i="1"/>
  <c r="T70" i="1"/>
  <c r="T518" i="1"/>
  <c r="T519" i="1"/>
  <c r="T516" i="1"/>
  <c r="T78" i="1"/>
  <c r="T86" i="1"/>
  <c r="T83" i="1"/>
  <c r="T82" i="1"/>
  <c r="T955" i="1"/>
  <c r="S668" i="1"/>
  <c r="S669" i="1"/>
  <c r="S655" i="1"/>
  <c r="S665" i="1"/>
  <c r="S666" i="1"/>
  <c r="S677" i="1"/>
  <c r="S667" i="1"/>
  <c r="S85" i="1"/>
  <c r="S489" i="1"/>
  <c r="S490" i="1"/>
  <c r="S21" i="1"/>
  <c r="S20" i="1"/>
  <c r="S252" i="1"/>
  <c r="S491" i="1"/>
  <c r="S492" i="1"/>
  <c r="S493" i="1"/>
  <c r="S494" i="1"/>
  <c r="S261" i="1"/>
  <c r="S265" i="1"/>
  <c r="S495" i="1"/>
  <c r="S496" i="1"/>
  <c r="S137" i="1"/>
  <c r="S138" i="1"/>
  <c r="S70" i="1"/>
  <c r="S518" i="1"/>
  <c r="S519" i="1"/>
  <c r="S516" i="1"/>
  <c r="S78" i="1"/>
  <c r="S86" i="1"/>
  <c r="S83" i="1"/>
  <c r="S82" i="1"/>
  <c r="S955" i="1"/>
  <c r="R668" i="1"/>
  <c r="R669" i="1"/>
  <c r="R655" i="1"/>
  <c r="R665" i="1"/>
  <c r="R666" i="1"/>
  <c r="R677" i="1"/>
  <c r="R667" i="1"/>
  <c r="R85" i="1"/>
  <c r="R489" i="1"/>
  <c r="R490" i="1"/>
  <c r="R21" i="1"/>
  <c r="R20" i="1"/>
  <c r="R252" i="1"/>
  <c r="R491" i="1"/>
  <c r="R492" i="1"/>
  <c r="R493" i="1"/>
  <c r="R494" i="1"/>
  <c r="R261" i="1"/>
  <c r="R265" i="1"/>
  <c r="R495" i="1"/>
  <c r="R496" i="1"/>
  <c r="R137" i="1"/>
  <c r="R138" i="1"/>
  <c r="R70" i="1"/>
  <c r="R518" i="1"/>
  <c r="R519" i="1"/>
  <c r="R516" i="1"/>
  <c r="R78" i="1"/>
  <c r="R86" i="1"/>
  <c r="R83" i="1"/>
  <c r="R82" i="1"/>
  <c r="R955" i="1"/>
  <c r="Q668" i="1"/>
  <c r="Q669" i="1"/>
  <c r="Q655" i="1"/>
  <c r="Q665" i="1"/>
  <c r="Q666" i="1"/>
  <c r="Q677" i="1"/>
  <c r="Q667" i="1"/>
  <c r="Q85" i="1"/>
  <c r="Q489" i="1"/>
  <c r="Q490" i="1"/>
  <c r="Q21" i="1"/>
  <c r="Q20" i="1"/>
  <c r="Q252" i="1"/>
  <c r="Q491" i="1"/>
  <c r="Q492" i="1"/>
  <c r="Q493" i="1"/>
  <c r="Q494" i="1"/>
  <c r="Q261" i="1"/>
  <c r="Q265" i="1"/>
  <c r="Q495" i="1"/>
  <c r="Q496" i="1"/>
  <c r="Q137" i="1"/>
  <c r="Q138" i="1"/>
  <c r="Q70" i="1"/>
  <c r="Q518" i="1"/>
  <c r="Q519" i="1"/>
  <c r="Q516" i="1"/>
  <c r="Q78" i="1"/>
  <c r="Q86" i="1"/>
  <c r="Q83" i="1"/>
  <c r="Q82" i="1"/>
  <c r="Q955" i="1"/>
  <c r="P668" i="1"/>
  <c r="P669" i="1"/>
  <c r="P655" i="1"/>
  <c r="P665" i="1"/>
  <c r="P666" i="1"/>
  <c r="P677" i="1"/>
  <c r="P667" i="1"/>
  <c r="P85" i="1"/>
  <c r="P489" i="1"/>
  <c r="P490" i="1"/>
  <c r="P21" i="1"/>
  <c r="P20" i="1"/>
  <c r="P252" i="1"/>
  <c r="P491" i="1"/>
  <c r="P492" i="1"/>
  <c r="P493" i="1"/>
  <c r="P494" i="1"/>
  <c r="P261" i="1"/>
  <c r="P265" i="1"/>
  <c r="P495" i="1"/>
  <c r="P496" i="1"/>
  <c r="P137" i="1"/>
  <c r="P138" i="1"/>
  <c r="P70" i="1"/>
  <c r="P518" i="1"/>
  <c r="P519" i="1"/>
  <c r="P516" i="1"/>
  <c r="P78" i="1"/>
  <c r="P86" i="1"/>
  <c r="P83" i="1"/>
  <c r="P82" i="1"/>
  <c r="P955" i="1"/>
  <c r="O668" i="1"/>
  <c r="O669" i="1"/>
  <c r="O655" i="1"/>
  <c r="O665" i="1"/>
  <c r="O666" i="1"/>
  <c r="O677" i="1"/>
  <c r="O667" i="1"/>
  <c r="O85" i="1"/>
  <c r="O489" i="1"/>
  <c r="O490" i="1"/>
  <c r="O21" i="1"/>
  <c r="O20" i="1"/>
  <c r="O252" i="1"/>
  <c r="O491" i="1"/>
  <c r="O492" i="1"/>
  <c r="O493" i="1"/>
  <c r="O494" i="1"/>
  <c r="O261" i="1"/>
  <c r="O265" i="1"/>
  <c r="O495" i="1"/>
  <c r="O496" i="1"/>
  <c r="O137" i="1"/>
  <c r="O138" i="1"/>
  <c r="O70" i="1"/>
  <c r="O518" i="1"/>
  <c r="O519" i="1"/>
  <c r="O516" i="1"/>
  <c r="O78" i="1"/>
  <c r="O86" i="1"/>
  <c r="O83" i="1"/>
  <c r="O82" i="1"/>
  <c r="O955" i="1"/>
  <c r="N668" i="1"/>
  <c r="N669" i="1"/>
  <c r="N655" i="1"/>
  <c r="N665" i="1"/>
  <c r="N666" i="1"/>
  <c r="N677" i="1"/>
  <c r="N667" i="1"/>
  <c r="N85" i="1"/>
  <c r="N489" i="1"/>
  <c r="N490" i="1"/>
  <c r="N21" i="1"/>
  <c r="N20" i="1"/>
  <c r="N252" i="1"/>
  <c r="N491" i="1"/>
  <c r="N492" i="1"/>
  <c r="N493" i="1"/>
  <c r="N494" i="1"/>
  <c r="N261" i="1"/>
  <c r="N265" i="1"/>
  <c r="N495" i="1"/>
  <c r="N496" i="1"/>
  <c r="N137" i="1"/>
  <c r="N138" i="1"/>
  <c r="N70" i="1"/>
  <c r="N518" i="1"/>
  <c r="N519" i="1"/>
  <c r="N516" i="1"/>
  <c r="N78" i="1"/>
  <c r="N86" i="1"/>
  <c r="N83" i="1"/>
  <c r="N82" i="1"/>
  <c r="N955" i="1"/>
  <c r="M668" i="1"/>
  <c r="M669" i="1"/>
  <c r="M655" i="1"/>
  <c r="M665" i="1"/>
  <c r="M666" i="1"/>
  <c r="M677" i="1"/>
  <c r="M667" i="1"/>
  <c r="M85" i="1"/>
  <c r="M489" i="1"/>
  <c r="M490" i="1"/>
  <c r="M21" i="1"/>
  <c r="M20" i="1"/>
  <c r="M252" i="1"/>
  <c r="M491" i="1"/>
  <c r="M492" i="1"/>
  <c r="M493" i="1"/>
  <c r="M494" i="1"/>
  <c r="M261" i="1"/>
  <c r="M265" i="1"/>
  <c r="M495" i="1"/>
  <c r="M496" i="1"/>
  <c r="M137" i="1"/>
  <c r="M138" i="1"/>
  <c r="M70" i="1"/>
  <c r="M518" i="1"/>
  <c r="M519" i="1"/>
  <c r="M516" i="1"/>
  <c r="M78" i="1"/>
  <c r="M86" i="1"/>
  <c r="M83" i="1"/>
  <c r="M82" i="1"/>
  <c r="M955" i="1"/>
  <c r="L668" i="1"/>
  <c r="L669" i="1"/>
  <c r="L655" i="1"/>
  <c r="L665" i="1"/>
  <c r="L666" i="1"/>
  <c r="L677" i="1"/>
  <c r="L667" i="1"/>
  <c r="L85" i="1"/>
  <c r="L489" i="1"/>
  <c r="L490" i="1"/>
  <c r="L21" i="1"/>
  <c r="L20" i="1"/>
  <c r="L252" i="1"/>
  <c r="L491" i="1"/>
  <c r="L492" i="1"/>
  <c r="L493" i="1"/>
  <c r="L494" i="1"/>
  <c r="L261" i="1"/>
  <c r="L265" i="1"/>
  <c r="L495" i="1"/>
  <c r="L496" i="1"/>
  <c r="L137" i="1"/>
  <c r="L138" i="1"/>
  <c r="L70" i="1"/>
  <c r="L518" i="1"/>
  <c r="L519" i="1"/>
  <c r="L516" i="1"/>
  <c r="L78" i="1"/>
  <c r="L86" i="1"/>
  <c r="L83" i="1"/>
  <c r="L82" i="1"/>
  <c r="L955" i="1"/>
  <c r="K668" i="1"/>
  <c r="K669" i="1"/>
  <c r="K655" i="1"/>
  <c r="K665" i="1"/>
  <c r="K666" i="1"/>
  <c r="K677" i="1"/>
  <c r="K667" i="1"/>
  <c r="K85" i="1"/>
  <c r="K489" i="1"/>
  <c r="K490" i="1"/>
  <c r="K21" i="1"/>
  <c r="K20" i="1"/>
  <c r="K252" i="1"/>
  <c r="K491" i="1"/>
  <c r="K492" i="1"/>
  <c r="K493" i="1"/>
  <c r="K494" i="1"/>
  <c r="K261" i="1"/>
  <c r="K265" i="1"/>
  <c r="K495" i="1"/>
  <c r="K496" i="1"/>
  <c r="K137" i="1"/>
  <c r="K138" i="1"/>
  <c r="K70" i="1"/>
  <c r="K518" i="1"/>
  <c r="K519" i="1"/>
  <c r="K516" i="1"/>
  <c r="K78" i="1"/>
  <c r="K86" i="1"/>
  <c r="K83" i="1"/>
  <c r="K82" i="1"/>
  <c r="K955" i="1"/>
  <c r="J668" i="1"/>
  <c r="J669" i="1"/>
  <c r="J655" i="1"/>
  <c r="J665" i="1"/>
  <c r="J666" i="1"/>
  <c r="J677" i="1"/>
  <c r="J667" i="1"/>
  <c r="J85" i="1"/>
  <c r="J489" i="1"/>
  <c r="J490" i="1"/>
  <c r="J21" i="1"/>
  <c r="J20" i="1"/>
  <c r="J252" i="1"/>
  <c r="J491" i="1"/>
  <c r="J492" i="1"/>
  <c r="J493" i="1"/>
  <c r="J494" i="1"/>
  <c r="J261" i="1"/>
  <c r="J265" i="1"/>
  <c r="J495" i="1"/>
  <c r="J496" i="1"/>
  <c r="J137" i="1"/>
  <c r="J138" i="1"/>
  <c r="J70" i="1"/>
  <c r="J518" i="1"/>
  <c r="J519" i="1"/>
  <c r="J516" i="1"/>
  <c r="J78" i="1"/>
  <c r="J86" i="1"/>
  <c r="J83" i="1"/>
  <c r="J82" i="1"/>
  <c r="J955" i="1"/>
  <c r="I668" i="1"/>
  <c r="I669" i="1"/>
  <c r="I655" i="1"/>
  <c r="I665" i="1"/>
  <c r="I666" i="1"/>
  <c r="I677" i="1"/>
  <c r="I667" i="1"/>
  <c r="I85" i="1"/>
  <c r="I489" i="1"/>
  <c r="I490" i="1"/>
  <c r="I21" i="1"/>
  <c r="I20" i="1"/>
  <c r="I252" i="1"/>
  <c r="I491" i="1"/>
  <c r="I492" i="1"/>
  <c r="I493" i="1"/>
  <c r="I494" i="1"/>
  <c r="I261" i="1"/>
  <c r="I265" i="1"/>
  <c r="I495" i="1"/>
  <c r="I496" i="1"/>
  <c r="I137" i="1"/>
  <c r="I138" i="1"/>
  <c r="I70" i="1"/>
  <c r="I518" i="1"/>
  <c r="I519" i="1"/>
  <c r="I516" i="1"/>
  <c r="I78" i="1"/>
  <c r="I86" i="1"/>
  <c r="I83" i="1"/>
  <c r="I82" i="1"/>
  <c r="I955" i="1"/>
  <c r="H668" i="1"/>
  <c r="H669" i="1"/>
  <c r="H655" i="1"/>
  <c r="H665" i="1"/>
  <c r="H666" i="1"/>
  <c r="H677" i="1"/>
  <c r="H667" i="1"/>
  <c r="H85" i="1"/>
  <c r="H489" i="1"/>
  <c r="H490" i="1"/>
  <c r="H21" i="1"/>
  <c r="H20" i="1"/>
  <c r="H252" i="1"/>
  <c r="H491" i="1"/>
  <c r="H492" i="1"/>
  <c r="H493" i="1"/>
  <c r="H494" i="1"/>
  <c r="H261" i="1"/>
  <c r="H265" i="1"/>
  <c r="H495" i="1"/>
  <c r="H496" i="1"/>
  <c r="H137" i="1"/>
  <c r="H138" i="1"/>
  <c r="H70" i="1"/>
  <c r="H518" i="1"/>
  <c r="H519" i="1"/>
  <c r="H516" i="1"/>
  <c r="H78" i="1"/>
  <c r="H86" i="1"/>
  <c r="H83" i="1"/>
  <c r="H82" i="1"/>
  <c r="H955" i="1"/>
  <c r="G668" i="1"/>
  <c r="G669" i="1"/>
  <c r="G655" i="1"/>
  <c r="G665" i="1"/>
  <c r="G666" i="1"/>
  <c r="G677" i="1"/>
  <c r="G667" i="1"/>
  <c r="G85" i="1"/>
  <c r="G489" i="1"/>
  <c r="G490" i="1"/>
  <c r="G21" i="1"/>
  <c r="G20" i="1"/>
  <c r="G252" i="1"/>
  <c r="G491" i="1"/>
  <c r="G492" i="1"/>
  <c r="G493" i="1"/>
  <c r="G494" i="1"/>
  <c r="G261" i="1"/>
  <c r="G265" i="1"/>
  <c r="G495" i="1"/>
  <c r="G496" i="1"/>
  <c r="G137" i="1"/>
  <c r="G138" i="1"/>
  <c r="G70" i="1"/>
  <c r="G518" i="1"/>
  <c r="G519" i="1"/>
  <c r="G516" i="1"/>
  <c r="G78" i="1"/>
  <c r="G86" i="1"/>
  <c r="G83" i="1"/>
  <c r="G82" i="1"/>
  <c r="G955" i="1"/>
  <c r="AF954" i="1"/>
  <c r="AE954" i="1"/>
  <c r="AD954" i="1"/>
  <c r="AC954" i="1"/>
  <c r="AB954" i="1"/>
  <c r="AA954" i="1"/>
  <c r="Z954" i="1"/>
  <c r="Y954" i="1"/>
  <c r="X954" i="1"/>
  <c r="W954" i="1"/>
  <c r="V954" i="1"/>
  <c r="U954" i="1"/>
  <c r="T954" i="1"/>
  <c r="S954" i="1"/>
  <c r="R954" i="1"/>
  <c r="Q954" i="1"/>
  <c r="P954" i="1"/>
  <c r="O954" i="1"/>
  <c r="N954" i="1"/>
  <c r="M954" i="1"/>
  <c r="L954" i="1"/>
  <c r="K954" i="1"/>
  <c r="J954" i="1"/>
  <c r="I954" i="1"/>
  <c r="H954" i="1"/>
  <c r="G954" i="1"/>
  <c r="AF953" i="1"/>
  <c r="AE953" i="1"/>
  <c r="AD953" i="1"/>
  <c r="AC953" i="1"/>
  <c r="AB953" i="1"/>
  <c r="AA953" i="1"/>
  <c r="Z953" i="1"/>
  <c r="Y953" i="1"/>
  <c r="X953" i="1"/>
  <c r="W953" i="1"/>
  <c r="V953" i="1"/>
  <c r="U953" i="1"/>
  <c r="T953" i="1"/>
  <c r="S953" i="1"/>
  <c r="R953" i="1"/>
  <c r="Q953" i="1"/>
  <c r="P953" i="1"/>
  <c r="O953" i="1"/>
  <c r="N953" i="1"/>
  <c r="M953" i="1"/>
  <c r="L953" i="1"/>
  <c r="K953" i="1"/>
  <c r="J953" i="1"/>
  <c r="I953" i="1"/>
  <c r="H953" i="1"/>
  <c r="G953" i="1"/>
  <c r="AF952" i="1"/>
  <c r="AE952" i="1"/>
  <c r="AD952" i="1"/>
  <c r="AC952" i="1"/>
  <c r="AB952" i="1"/>
  <c r="AA952" i="1"/>
  <c r="Z952" i="1"/>
  <c r="Y952" i="1"/>
  <c r="X952" i="1"/>
  <c r="W952" i="1"/>
  <c r="V952" i="1"/>
  <c r="U952" i="1"/>
  <c r="T952" i="1"/>
  <c r="S952" i="1"/>
  <c r="R952" i="1"/>
  <c r="Q952" i="1"/>
  <c r="P952" i="1"/>
  <c r="O952" i="1"/>
  <c r="N952" i="1"/>
  <c r="M952" i="1"/>
  <c r="L952" i="1"/>
  <c r="K952" i="1"/>
  <c r="J952" i="1"/>
  <c r="I952" i="1"/>
  <c r="H952" i="1"/>
  <c r="G952" i="1"/>
  <c r="AF951" i="1"/>
  <c r="AE951" i="1"/>
  <c r="AD951" i="1"/>
  <c r="AC951" i="1"/>
  <c r="AB951" i="1"/>
  <c r="AA951" i="1"/>
  <c r="Z951" i="1"/>
  <c r="Y951" i="1"/>
  <c r="X951" i="1"/>
  <c r="W951" i="1"/>
  <c r="V951" i="1"/>
  <c r="U951" i="1"/>
  <c r="T951" i="1"/>
  <c r="S951" i="1"/>
  <c r="R951" i="1"/>
  <c r="Q951" i="1"/>
  <c r="P951" i="1"/>
  <c r="O951" i="1"/>
  <c r="N951" i="1"/>
  <c r="M951" i="1"/>
  <c r="L951" i="1"/>
  <c r="K951" i="1"/>
  <c r="J951" i="1"/>
  <c r="I951" i="1"/>
  <c r="H951" i="1"/>
  <c r="G951" i="1"/>
  <c r="AF950" i="1"/>
  <c r="AE950" i="1"/>
  <c r="AD950" i="1"/>
  <c r="AC950" i="1"/>
  <c r="AB950" i="1"/>
  <c r="AA950" i="1"/>
  <c r="Z950" i="1"/>
  <c r="Y950" i="1"/>
  <c r="X950" i="1"/>
  <c r="W950" i="1"/>
  <c r="V950" i="1"/>
  <c r="U950" i="1"/>
  <c r="T950" i="1"/>
  <c r="S950" i="1"/>
  <c r="R950" i="1"/>
  <c r="Q950" i="1"/>
  <c r="P950" i="1"/>
  <c r="O950" i="1"/>
  <c r="N950" i="1"/>
  <c r="M950" i="1"/>
  <c r="L950" i="1"/>
  <c r="K950" i="1"/>
  <c r="J950" i="1"/>
  <c r="I950" i="1"/>
  <c r="H950" i="1"/>
  <c r="G950" i="1"/>
  <c r="AF949" i="1"/>
  <c r="AE949" i="1"/>
  <c r="AD949" i="1"/>
  <c r="AC949" i="1"/>
  <c r="AB949" i="1"/>
  <c r="AA949" i="1"/>
  <c r="Z949" i="1"/>
  <c r="Y949" i="1"/>
  <c r="X949" i="1"/>
  <c r="W949" i="1"/>
  <c r="V949" i="1"/>
  <c r="U949" i="1"/>
  <c r="T949" i="1"/>
  <c r="S949" i="1"/>
  <c r="R949" i="1"/>
  <c r="Q949" i="1"/>
  <c r="P949" i="1"/>
  <c r="O949" i="1"/>
  <c r="N949" i="1"/>
  <c r="M949" i="1"/>
  <c r="L949" i="1"/>
  <c r="K949" i="1"/>
  <c r="J949" i="1"/>
  <c r="I949" i="1"/>
  <c r="H949" i="1"/>
  <c r="G949" i="1"/>
  <c r="AF948" i="1"/>
  <c r="AE948" i="1"/>
  <c r="AD948" i="1"/>
  <c r="AC948" i="1"/>
  <c r="AB948" i="1"/>
  <c r="AA948" i="1"/>
  <c r="Z948" i="1"/>
  <c r="Y948" i="1"/>
  <c r="X948" i="1"/>
  <c r="W948" i="1"/>
  <c r="V948" i="1"/>
  <c r="U948" i="1"/>
  <c r="T948" i="1"/>
  <c r="S948" i="1"/>
  <c r="R948" i="1"/>
  <c r="Q948" i="1"/>
  <c r="P948" i="1"/>
  <c r="O948" i="1"/>
  <c r="N948" i="1"/>
  <c r="M948" i="1"/>
  <c r="L948" i="1"/>
  <c r="K948" i="1"/>
  <c r="J948" i="1"/>
  <c r="I948" i="1"/>
  <c r="H948" i="1"/>
  <c r="G948" i="1"/>
  <c r="AF947" i="1"/>
  <c r="AE947" i="1"/>
  <c r="AD947" i="1"/>
  <c r="AC947" i="1"/>
  <c r="AB947" i="1"/>
  <c r="AA947" i="1"/>
  <c r="Z947" i="1"/>
  <c r="Y947" i="1"/>
  <c r="X947" i="1"/>
  <c r="W947" i="1"/>
  <c r="V947" i="1"/>
  <c r="U947" i="1"/>
  <c r="T947" i="1"/>
  <c r="S947" i="1"/>
  <c r="R947" i="1"/>
  <c r="Q947" i="1"/>
  <c r="P947" i="1"/>
  <c r="O947" i="1"/>
  <c r="N947" i="1"/>
  <c r="M947" i="1"/>
  <c r="L947" i="1"/>
  <c r="K947" i="1"/>
  <c r="J947" i="1"/>
  <c r="I947" i="1"/>
  <c r="H947" i="1"/>
  <c r="G947" i="1"/>
  <c r="AF946" i="1"/>
  <c r="AE946" i="1"/>
  <c r="AD946" i="1"/>
  <c r="AC946" i="1"/>
  <c r="AB946" i="1"/>
  <c r="AA946" i="1"/>
  <c r="Z946" i="1"/>
  <c r="Y946" i="1"/>
  <c r="X946" i="1"/>
  <c r="W946" i="1"/>
  <c r="V946" i="1"/>
  <c r="U946" i="1"/>
  <c r="T946" i="1"/>
  <c r="S946" i="1"/>
  <c r="R946" i="1"/>
  <c r="Q946" i="1"/>
  <c r="P946" i="1"/>
  <c r="O946" i="1"/>
  <c r="N946" i="1"/>
  <c r="M946" i="1"/>
  <c r="L946" i="1"/>
  <c r="K946" i="1"/>
  <c r="J946" i="1"/>
  <c r="I946" i="1"/>
  <c r="H946" i="1"/>
  <c r="G946" i="1"/>
  <c r="AF945" i="1"/>
  <c r="AE945" i="1"/>
  <c r="AD945" i="1"/>
  <c r="AC945" i="1"/>
  <c r="AB945" i="1"/>
  <c r="AA945" i="1"/>
  <c r="Z945" i="1"/>
  <c r="Y945" i="1"/>
  <c r="X945" i="1"/>
  <c r="W945" i="1"/>
  <c r="V945" i="1"/>
  <c r="U945" i="1"/>
  <c r="T945" i="1"/>
  <c r="S945" i="1"/>
  <c r="R945" i="1"/>
  <c r="Q945" i="1"/>
  <c r="P945" i="1"/>
  <c r="O945" i="1"/>
  <c r="N945" i="1"/>
  <c r="M945" i="1"/>
  <c r="L945" i="1"/>
  <c r="K945" i="1"/>
  <c r="J945" i="1"/>
  <c r="I945" i="1"/>
  <c r="H945" i="1"/>
  <c r="G945" i="1"/>
  <c r="AF944" i="1"/>
  <c r="AE944" i="1"/>
  <c r="AD944" i="1"/>
  <c r="AC944" i="1"/>
  <c r="AB944" i="1"/>
  <c r="AA944" i="1"/>
  <c r="Z944" i="1"/>
  <c r="Y944" i="1"/>
  <c r="X944" i="1"/>
  <c r="W944" i="1"/>
  <c r="V944" i="1"/>
  <c r="U944" i="1"/>
  <c r="T944" i="1"/>
  <c r="S944" i="1"/>
  <c r="R944" i="1"/>
  <c r="Q944" i="1"/>
  <c r="P944" i="1"/>
  <c r="O944" i="1"/>
  <c r="N944" i="1"/>
  <c r="M944" i="1"/>
  <c r="L944" i="1"/>
  <c r="K944" i="1"/>
  <c r="J944" i="1"/>
  <c r="I944" i="1"/>
  <c r="H944" i="1"/>
  <c r="G944" i="1"/>
  <c r="AF943" i="1"/>
  <c r="AE943" i="1"/>
  <c r="AD943" i="1"/>
  <c r="AC943" i="1"/>
  <c r="AB943" i="1"/>
  <c r="AA943" i="1"/>
  <c r="Z943" i="1"/>
  <c r="Y943" i="1"/>
  <c r="X943" i="1"/>
  <c r="W943" i="1"/>
  <c r="V943" i="1"/>
  <c r="U943" i="1"/>
  <c r="T943" i="1"/>
  <c r="S943" i="1"/>
  <c r="R943" i="1"/>
  <c r="Q943" i="1"/>
  <c r="P943" i="1"/>
  <c r="O943" i="1"/>
  <c r="N943" i="1"/>
  <c r="M943" i="1"/>
  <c r="L943" i="1"/>
  <c r="K943" i="1"/>
  <c r="J943" i="1"/>
  <c r="I943" i="1"/>
  <c r="H943" i="1"/>
  <c r="G943" i="1"/>
  <c r="AF942" i="1"/>
  <c r="AE942" i="1"/>
  <c r="AD942" i="1"/>
  <c r="AC942" i="1"/>
  <c r="AB942" i="1"/>
  <c r="AA942" i="1"/>
  <c r="Z942" i="1"/>
  <c r="Y942" i="1"/>
  <c r="X942" i="1"/>
  <c r="W942" i="1"/>
  <c r="V942" i="1"/>
  <c r="U942" i="1"/>
  <c r="T942" i="1"/>
  <c r="S942" i="1"/>
  <c r="R942" i="1"/>
  <c r="Q942" i="1"/>
  <c r="P942" i="1"/>
  <c r="O942" i="1"/>
  <c r="N942" i="1"/>
  <c r="M942" i="1"/>
  <c r="L942" i="1"/>
  <c r="K942" i="1"/>
  <c r="J942" i="1"/>
  <c r="I942" i="1"/>
  <c r="H942" i="1"/>
  <c r="G942" i="1"/>
  <c r="AF941" i="1"/>
  <c r="AE941" i="1"/>
  <c r="AD941" i="1"/>
  <c r="AC941" i="1"/>
  <c r="AB941" i="1"/>
  <c r="AA941" i="1"/>
  <c r="Z941" i="1"/>
  <c r="Y941" i="1"/>
  <c r="X941" i="1"/>
  <c r="W941" i="1"/>
  <c r="V941" i="1"/>
  <c r="U941" i="1"/>
  <c r="T941" i="1"/>
  <c r="S941" i="1"/>
  <c r="R941" i="1"/>
  <c r="Q941" i="1"/>
  <c r="P941" i="1"/>
  <c r="O941" i="1"/>
  <c r="N941" i="1"/>
  <c r="M941" i="1"/>
  <c r="L941" i="1"/>
  <c r="K941" i="1"/>
  <c r="J941" i="1"/>
  <c r="I941" i="1"/>
  <c r="H941" i="1"/>
  <c r="G941" i="1"/>
  <c r="AF940" i="1"/>
  <c r="AE940" i="1"/>
  <c r="AD940" i="1"/>
  <c r="AC940" i="1"/>
  <c r="AB940" i="1"/>
  <c r="AA940" i="1"/>
  <c r="Z940" i="1"/>
  <c r="Y940" i="1"/>
  <c r="X940" i="1"/>
  <c r="W940" i="1"/>
  <c r="V940" i="1"/>
  <c r="U940" i="1"/>
  <c r="T940" i="1"/>
  <c r="S940" i="1"/>
  <c r="R940" i="1"/>
  <c r="Q940" i="1"/>
  <c r="P940" i="1"/>
  <c r="O940" i="1"/>
  <c r="N940" i="1"/>
  <c r="M940" i="1"/>
  <c r="L940" i="1"/>
  <c r="K940" i="1"/>
  <c r="J940" i="1"/>
  <c r="I940" i="1"/>
  <c r="H940" i="1"/>
  <c r="G940" i="1"/>
  <c r="AF939" i="1"/>
  <c r="AE939" i="1"/>
  <c r="AD939" i="1"/>
  <c r="AC939" i="1"/>
  <c r="AB939" i="1"/>
  <c r="AA939" i="1"/>
  <c r="Z939" i="1"/>
  <c r="Y939" i="1"/>
  <c r="X939" i="1"/>
  <c r="W939" i="1"/>
  <c r="V939" i="1"/>
  <c r="U939" i="1"/>
  <c r="T939" i="1"/>
  <c r="S939" i="1"/>
  <c r="R939" i="1"/>
  <c r="Q939" i="1"/>
  <c r="P939" i="1"/>
  <c r="O939" i="1"/>
  <c r="N939" i="1"/>
  <c r="M939" i="1"/>
  <c r="L939" i="1"/>
  <c r="K939" i="1"/>
  <c r="J939" i="1"/>
  <c r="I939" i="1"/>
  <c r="H939" i="1"/>
  <c r="G939" i="1"/>
  <c r="AF938" i="1"/>
  <c r="AE938" i="1"/>
  <c r="AD938" i="1"/>
  <c r="AC938" i="1"/>
  <c r="AB938" i="1"/>
  <c r="AA938" i="1"/>
  <c r="Z938" i="1"/>
  <c r="Y938" i="1"/>
  <c r="X938" i="1"/>
  <c r="W938" i="1"/>
  <c r="V938" i="1"/>
  <c r="U938" i="1"/>
  <c r="T938" i="1"/>
  <c r="S938" i="1"/>
  <c r="R938" i="1"/>
  <c r="Q938" i="1"/>
  <c r="P938" i="1"/>
  <c r="O938" i="1"/>
  <c r="N938" i="1"/>
  <c r="M938" i="1"/>
  <c r="L938" i="1"/>
  <c r="K938" i="1"/>
  <c r="J938" i="1"/>
  <c r="I938" i="1"/>
  <c r="H938" i="1"/>
  <c r="G938" i="1"/>
  <c r="AF937" i="1"/>
  <c r="AE937" i="1"/>
  <c r="AD937" i="1"/>
  <c r="AC937" i="1"/>
  <c r="AB937" i="1"/>
  <c r="AA937" i="1"/>
  <c r="Z937" i="1"/>
  <c r="Y937" i="1"/>
  <c r="X937" i="1"/>
  <c r="W937" i="1"/>
  <c r="V937" i="1"/>
  <c r="U937" i="1"/>
  <c r="T937" i="1"/>
  <c r="S937" i="1"/>
  <c r="R937" i="1"/>
  <c r="Q937" i="1"/>
  <c r="P937" i="1"/>
  <c r="O937" i="1"/>
  <c r="N937" i="1"/>
  <c r="M937" i="1"/>
  <c r="L937" i="1"/>
  <c r="K937" i="1"/>
  <c r="J937" i="1"/>
  <c r="I937" i="1"/>
  <c r="H937" i="1"/>
  <c r="G937" i="1"/>
  <c r="AF936" i="1"/>
  <c r="AE936" i="1"/>
  <c r="AD936" i="1"/>
  <c r="AC936" i="1"/>
  <c r="AB936" i="1"/>
  <c r="AA936" i="1"/>
  <c r="Z936" i="1"/>
  <c r="Y936" i="1"/>
  <c r="X936" i="1"/>
  <c r="W936" i="1"/>
  <c r="V936" i="1"/>
  <c r="U936" i="1"/>
  <c r="T936" i="1"/>
  <c r="S936" i="1"/>
  <c r="R936" i="1"/>
  <c r="Q936" i="1"/>
  <c r="P936" i="1"/>
  <c r="O936" i="1"/>
  <c r="N936" i="1"/>
  <c r="M936" i="1"/>
  <c r="L936" i="1"/>
  <c r="K936" i="1"/>
  <c r="J936" i="1"/>
  <c r="I936" i="1"/>
  <c r="H936" i="1"/>
  <c r="G936" i="1"/>
  <c r="AF935" i="1"/>
  <c r="AE935" i="1"/>
  <c r="AD935" i="1"/>
  <c r="AC935" i="1"/>
  <c r="AB935" i="1"/>
  <c r="AA935" i="1"/>
  <c r="Z935" i="1"/>
  <c r="Y935" i="1"/>
  <c r="X935" i="1"/>
  <c r="W935" i="1"/>
  <c r="V935" i="1"/>
  <c r="U935" i="1"/>
  <c r="T935" i="1"/>
  <c r="S935" i="1"/>
  <c r="R935" i="1"/>
  <c r="Q935" i="1"/>
  <c r="P935" i="1"/>
  <c r="O935" i="1"/>
  <c r="N935" i="1"/>
  <c r="M935" i="1"/>
  <c r="L935" i="1"/>
  <c r="K935" i="1"/>
  <c r="J935" i="1"/>
  <c r="I935" i="1"/>
  <c r="H935" i="1"/>
  <c r="G935" i="1"/>
  <c r="AF934" i="1"/>
  <c r="AE934" i="1"/>
  <c r="AD934" i="1"/>
  <c r="AC934" i="1"/>
  <c r="AB934" i="1"/>
  <c r="AA934" i="1"/>
  <c r="Z934" i="1"/>
  <c r="Y934" i="1"/>
  <c r="X934" i="1"/>
  <c r="W934" i="1"/>
  <c r="V934" i="1"/>
  <c r="U934" i="1"/>
  <c r="T934" i="1"/>
  <c r="S934" i="1"/>
  <c r="R934" i="1"/>
  <c r="Q934" i="1"/>
  <c r="P934" i="1"/>
  <c r="O934" i="1"/>
  <c r="N934" i="1"/>
  <c r="M934" i="1"/>
  <c r="L934" i="1"/>
  <c r="K934" i="1"/>
  <c r="J934" i="1"/>
  <c r="I934" i="1"/>
  <c r="H934" i="1"/>
  <c r="G934" i="1"/>
  <c r="AF933" i="1"/>
  <c r="AE933" i="1"/>
  <c r="AD933" i="1"/>
  <c r="AC933" i="1"/>
  <c r="AB933" i="1"/>
  <c r="AA933" i="1"/>
  <c r="Z933" i="1"/>
  <c r="Y933" i="1"/>
  <c r="X933" i="1"/>
  <c r="W933" i="1"/>
  <c r="V933" i="1"/>
  <c r="U933" i="1"/>
  <c r="T933" i="1"/>
  <c r="S933" i="1"/>
  <c r="R933" i="1"/>
  <c r="Q933" i="1"/>
  <c r="P933" i="1"/>
  <c r="O933" i="1"/>
  <c r="N933" i="1"/>
  <c r="M933" i="1"/>
  <c r="L933" i="1"/>
  <c r="K933" i="1"/>
  <c r="J933" i="1"/>
  <c r="I933" i="1"/>
  <c r="H933" i="1"/>
  <c r="G933" i="1"/>
  <c r="AF932" i="1"/>
  <c r="AE932" i="1"/>
  <c r="AD932" i="1"/>
  <c r="AC932" i="1"/>
  <c r="AB932" i="1"/>
  <c r="AA932" i="1"/>
  <c r="Z932" i="1"/>
  <c r="Y932" i="1"/>
  <c r="X932" i="1"/>
  <c r="W932" i="1"/>
  <c r="V932" i="1"/>
  <c r="U932" i="1"/>
  <c r="T932" i="1"/>
  <c r="S932" i="1"/>
  <c r="R932" i="1"/>
  <c r="Q932" i="1"/>
  <c r="P932" i="1"/>
  <c r="O932" i="1"/>
  <c r="N932" i="1"/>
  <c r="M932" i="1"/>
  <c r="L932" i="1"/>
  <c r="K932" i="1"/>
  <c r="J932" i="1"/>
  <c r="I932" i="1"/>
  <c r="H932" i="1"/>
  <c r="G932" i="1"/>
  <c r="AF931" i="1"/>
  <c r="AE931" i="1"/>
  <c r="AD931" i="1"/>
  <c r="AC931" i="1"/>
  <c r="AB931" i="1"/>
  <c r="AA931" i="1"/>
  <c r="Z931" i="1"/>
  <c r="Y931" i="1"/>
  <c r="X931" i="1"/>
  <c r="W931" i="1"/>
  <c r="V931" i="1"/>
  <c r="U931" i="1"/>
  <c r="T931" i="1"/>
  <c r="S931" i="1"/>
  <c r="R931" i="1"/>
  <c r="Q931" i="1"/>
  <c r="P931" i="1"/>
  <c r="O931" i="1"/>
  <c r="N931" i="1"/>
  <c r="M931" i="1"/>
  <c r="L931" i="1"/>
  <c r="K931" i="1"/>
  <c r="J931" i="1"/>
  <c r="I931" i="1"/>
  <c r="H931" i="1"/>
  <c r="G931" i="1"/>
  <c r="AF930" i="1"/>
  <c r="AE930" i="1"/>
  <c r="AD930" i="1"/>
  <c r="AC930" i="1"/>
  <c r="AB930" i="1"/>
  <c r="AA930" i="1"/>
  <c r="Z930" i="1"/>
  <c r="Y930" i="1"/>
  <c r="X930" i="1"/>
  <c r="W930" i="1"/>
  <c r="V930" i="1"/>
  <c r="U930" i="1"/>
  <c r="T930" i="1"/>
  <c r="S930" i="1"/>
  <c r="R930" i="1"/>
  <c r="Q930" i="1"/>
  <c r="P930" i="1"/>
  <c r="O930" i="1"/>
  <c r="N930" i="1"/>
  <c r="M930" i="1"/>
  <c r="L930" i="1"/>
  <c r="K930" i="1"/>
  <c r="J930" i="1"/>
  <c r="I930" i="1"/>
  <c r="H930" i="1"/>
  <c r="G930" i="1"/>
  <c r="AF929" i="1"/>
  <c r="AE929" i="1"/>
  <c r="AD929" i="1"/>
  <c r="AC929" i="1"/>
  <c r="AB929" i="1"/>
  <c r="AA929" i="1"/>
  <c r="Z929" i="1"/>
  <c r="Y929" i="1"/>
  <c r="X929" i="1"/>
  <c r="W929" i="1"/>
  <c r="V929" i="1"/>
  <c r="U929" i="1"/>
  <c r="T929" i="1"/>
  <c r="S929" i="1"/>
  <c r="R929" i="1"/>
  <c r="Q929" i="1"/>
  <c r="P929" i="1"/>
  <c r="O929" i="1"/>
  <c r="N929" i="1"/>
  <c r="M929" i="1"/>
  <c r="L929" i="1"/>
  <c r="K929" i="1"/>
  <c r="J929" i="1"/>
  <c r="I929" i="1"/>
  <c r="H929" i="1"/>
  <c r="G929" i="1"/>
  <c r="AF928" i="1"/>
  <c r="AE928" i="1"/>
  <c r="AD928" i="1"/>
  <c r="AC928" i="1"/>
  <c r="AB928" i="1"/>
  <c r="AA928" i="1"/>
  <c r="Z928" i="1"/>
  <c r="Y928" i="1"/>
  <c r="X928" i="1"/>
  <c r="W928" i="1"/>
  <c r="V928" i="1"/>
  <c r="U928" i="1"/>
  <c r="T928" i="1"/>
  <c r="S928" i="1"/>
  <c r="R928" i="1"/>
  <c r="Q928" i="1"/>
  <c r="P928" i="1"/>
  <c r="O928" i="1"/>
  <c r="N928" i="1"/>
  <c r="M928" i="1"/>
  <c r="L928" i="1"/>
  <c r="K928" i="1"/>
  <c r="J928" i="1"/>
  <c r="I928" i="1"/>
  <c r="H928" i="1"/>
  <c r="G928" i="1"/>
  <c r="AF927" i="1"/>
  <c r="AE927" i="1"/>
  <c r="AD927" i="1"/>
  <c r="AC927" i="1"/>
  <c r="AB927" i="1"/>
  <c r="AA927" i="1"/>
  <c r="Z927" i="1"/>
  <c r="Y927" i="1"/>
  <c r="X927" i="1"/>
  <c r="W927" i="1"/>
  <c r="V927" i="1"/>
  <c r="U927" i="1"/>
  <c r="T927" i="1"/>
  <c r="S927" i="1"/>
  <c r="R927" i="1"/>
  <c r="Q927" i="1"/>
  <c r="P927" i="1"/>
  <c r="O927" i="1"/>
  <c r="N927" i="1"/>
  <c r="M927" i="1"/>
  <c r="L927" i="1"/>
  <c r="K927" i="1"/>
  <c r="J927" i="1"/>
  <c r="I927" i="1"/>
  <c r="H927" i="1"/>
  <c r="G927" i="1"/>
  <c r="AF926" i="1"/>
  <c r="AE926" i="1"/>
  <c r="AD926" i="1"/>
  <c r="AC926" i="1"/>
  <c r="AB926" i="1"/>
  <c r="AA926" i="1"/>
  <c r="Z926" i="1"/>
  <c r="Y926" i="1"/>
  <c r="X926" i="1"/>
  <c r="W926" i="1"/>
  <c r="V926" i="1"/>
  <c r="U926" i="1"/>
  <c r="T926" i="1"/>
  <c r="S926" i="1"/>
  <c r="R926" i="1"/>
  <c r="Q926" i="1"/>
  <c r="P926" i="1"/>
  <c r="O926" i="1"/>
  <c r="N926" i="1"/>
  <c r="M926" i="1"/>
  <c r="L926" i="1"/>
  <c r="K926" i="1"/>
  <c r="J926" i="1"/>
  <c r="I926" i="1"/>
  <c r="H926" i="1"/>
  <c r="G926" i="1"/>
  <c r="AF925" i="1"/>
  <c r="AE925" i="1"/>
  <c r="AD925" i="1"/>
  <c r="AC925" i="1"/>
  <c r="AB925" i="1"/>
  <c r="AA925" i="1"/>
  <c r="Z925" i="1"/>
  <c r="Y925" i="1"/>
  <c r="X925" i="1"/>
  <c r="W925" i="1"/>
  <c r="V925" i="1"/>
  <c r="U925" i="1"/>
  <c r="T925" i="1"/>
  <c r="S925" i="1"/>
  <c r="R925" i="1"/>
  <c r="Q925" i="1"/>
  <c r="P925" i="1"/>
  <c r="O925" i="1"/>
  <c r="N925" i="1"/>
  <c r="M925" i="1"/>
  <c r="L925" i="1"/>
  <c r="K925" i="1"/>
  <c r="J925" i="1"/>
  <c r="I925" i="1"/>
  <c r="H925" i="1"/>
  <c r="G925" i="1"/>
  <c r="AF924" i="1"/>
  <c r="AE924" i="1"/>
  <c r="AD924" i="1"/>
  <c r="AC924" i="1"/>
  <c r="AB924" i="1"/>
  <c r="AA924" i="1"/>
  <c r="Z924" i="1"/>
  <c r="Y924" i="1"/>
  <c r="X924" i="1"/>
  <c r="W924" i="1"/>
  <c r="V924" i="1"/>
  <c r="U924" i="1"/>
  <c r="T924" i="1"/>
  <c r="S924" i="1"/>
  <c r="R924" i="1"/>
  <c r="Q924" i="1"/>
  <c r="P924" i="1"/>
  <c r="O924" i="1"/>
  <c r="N924" i="1"/>
  <c r="M924" i="1"/>
  <c r="L924" i="1"/>
  <c r="K924" i="1"/>
  <c r="J924" i="1"/>
  <c r="I924" i="1"/>
  <c r="H924" i="1"/>
  <c r="G924" i="1"/>
  <c r="AF923" i="1"/>
  <c r="AE923" i="1"/>
  <c r="AD923" i="1"/>
  <c r="AC923" i="1"/>
  <c r="AB923" i="1"/>
  <c r="AA923" i="1"/>
  <c r="Z923" i="1"/>
  <c r="Y923" i="1"/>
  <c r="X923" i="1"/>
  <c r="W923" i="1"/>
  <c r="V923" i="1"/>
  <c r="U923" i="1"/>
  <c r="T923" i="1"/>
  <c r="S923" i="1"/>
  <c r="R923" i="1"/>
  <c r="Q923" i="1"/>
  <c r="P923" i="1"/>
  <c r="O923" i="1"/>
  <c r="N923" i="1"/>
  <c r="M923" i="1"/>
  <c r="L923" i="1"/>
  <c r="K923" i="1"/>
  <c r="J923" i="1"/>
  <c r="I923" i="1"/>
  <c r="H923" i="1"/>
  <c r="G923" i="1"/>
  <c r="AF922" i="1"/>
  <c r="AE922" i="1"/>
  <c r="AD922" i="1"/>
  <c r="AC922" i="1"/>
  <c r="AB922" i="1"/>
  <c r="AA922" i="1"/>
  <c r="Z922" i="1"/>
  <c r="Y922" i="1"/>
  <c r="X922" i="1"/>
  <c r="W922" i="1"/>
  <c r="V922" i="1"/>
  <c r="U922" i="1"/>
  <c r="T922" i="1"/>
  <c r="S922" i="1"/>
  <c r="R922" i="1"/>
  <c r="Q922" i="1"/>
  <c r="P922" i="1"/>
  <c r="O922" i="1"/>
  <c r="N922" i="1"/>
  <c r="M922" i="1"/>
  <c r="L922" i="1"/>
  <c r="K922" i="1"/>
  <c r="J922" i="1"/>
  <c r="I922" i="1"/>
  <c r="H922" i="1"/>
  <c r="G922" i="1"/>
  <c r="AF921" i="1"/>
  <c r="AE921" i="1"/>
  <c r="AD921" i="1"/>
  <c r="AC921" i="1"/>
  <c r="AB921" i="1"/>
  <c r="AA921" i="1"/>
  <c r="Z921" i="1"/>
  <c r="Y921" i="1"/>
  <c r="X921" i="1"/>
  <c r="W921" i="1"/>
  <c r="V921" i="1"/>
  <c r="U921" i="1"/>
  <c r="T921" i="1"/>
  <c r="S921" i="1"/>
  <c r="R921" i="1"/>
  <c r="Q921" i="1"/>
  <c r="P921" i="1"/>
  <c r="O921" i="1"/>
  <c r="N921" i="1"/>
  <c r="M921" i="1"/>
  <c r="L921" i="1"/>
  <c r="K921" i="1"/>
  <c r="J921" i="1"/>
  <c r="I921" i="1"/>
  <c r="H921" i="1"/>
  <c r="G921" i="1"/>
  <c r="AF920" i="1"/>
  <c r="AE920" i="1"/>
  <c r="AD920" i="1"/>
  <c r="AC920" i="1"/>
  <c r="AB920" i="1"/>
  <c r="AA920" i="1"/>
  <c r="Z920" i="1"/>
  <c r="Y920" i="1"/>
  <c r="X920" i="1"/>
  <c r="W920" i="1"/>
  <c r="V920" i="1"/>
  <c r="U920" i="1"/>
  <c r="T920" i="1"/>
  <c r="S920" i="1"/>
  <c r="R920" i="1"/>
  <c r="Q920" i="1"/>
  <c r="P920" i="1"/>
  <c r="O920" i="1"/>
  <c r="N920" i="1"/>
  <c r="M920" i="1"/>
  <c r="L920" i="1"/>
  <c r="K920" i="1"/>
  <c r="J920" i="1"/>
  <c r="I920" i="1"/>
  <c r="H920" i="1"/>
  <c r="G920" i="1"/>
  <c r="AF919" i="1"/>
  <c r="AE919" i="1"/>
  <c r="AD919" i="1"/>
  <c r="AC919" i="1"/>
  <c r="AB919" i="1"/>
  <c r="AA919" i="1"/>
  <c r="Z919" i="1"/>
  <c r="Y919" i="1"/>
  <c r="X919" i="1"/>
  <c r="W919" i="1"/>
  <c r="V919" i="1"/>
  <c r="U919" i="1"/>
  <c r="T919" i="1"/>
  <c r="S919" i="1"/>
  <c r="R919" i="1"/>
  <c r="Q919" i="1"/>
  <c r="P919" i="1"/>
  <c r="O919" i="1"/>
  <c r="N919" i="1"/>
  <c r="M919" i="1"/>
  <c r="L919" i="1"/>
  <c r="K919" i="1"/>
  <c r="J919" i="1"/>
  <c r="I919" i="1"/>
  <c r="H919" i="1"/>
  <c r="G919" i="1"/>
  <c r="AF918" i="1"/>
  <c r="AE918" i="1"/>
  <c r="AD918" i="1"/>
  <c r="AC918" i="1"/>
  <c r="AB918" i="1"/>
  <c r="AA918" i="1"/>
  <c r="Z918" i="1"/>
  <c r="Y918" i="1"/>
  <c r="X918" i="1"/>
  <c r="W918" i="1"/>
  <c r="V918" i="1"/>
  <c r="U918" i="1"/>
  <c r="T918" i="1"/>
  <c r="S918" i="1"/>
  <c r="R918" i="1"/>
  <c r="Q918" i="1"/>
  <c r="P918" i="1"/>
  <c r="O918" i="1"/>
  <c r="N918" i="1"/>
  <c r="M918" i="1"/>
  <c r="L918" i="1"/>
  <c r="K918" i="1"/>
  <c r="J918" i="1"/>
  <c r="I918" i="1"/>
  <c r="H918" i="1"/>
  <c r="G918" i="1"/>
  <c r="AF917" i="1"/>
  <c r="AE917" i="1"/>
  <c r="AD917" i="1"/>
  <c r="AC917" i="1"/>
  <c r="AB917" i="1"/>
  <c r="AA917" i="1"/>
  <c r="Z917" i="1"/>
  <c r="Y917" i="1"/>
  <c r="X917" i="1"/>
  <c r="W917" i="1"/>
  <c r="V917" i="1"/>
  <c r="U917" i="1"/>
  <c r="T917" i="1"/>
  <c r="S917" i="1"/>
  <c r="R917" i="1"/>
  <c r="Q917" i="1"/>
  <c r="P917" i="1"/>
  <c r="O917" i="1"/>
  <c r="N917" i="1"/>
  <c r="M917" i="1"/>
  <c r="L917" i="1"/>
  <c r="K917" i="1"/>
  <c r="J917" i="1"/>
  <c r="I917" i="1"/>
  <c r="H917" i="1"/>
  <c r="G917" i="1"/>
  <c r="AF915" i="1"/>
  <c r="AE915" i="1"/>
  <c r="AD915" i="1"/>
  <c r="AC915" i="1"/>
  <c r="AB915" i="1"/>
  <c r="AA915" i="1"/>
  <c r="Z915" i="1"/>
  <c r="Y915" i="1"/>
  <c r="X915" i="1"/>
  <c r="W915" i="1"/>
  <c r="V915" i="1"/>
  <c r="U915" i="1"/>
  <c r="T915" i="1"/>
  <c r="S915" i="1"/>
  <c r="R915" i="1"/>
  <c r="Q915" i="1"/>
  <c r="P915" i="1"/>
  <c r="O915" i="1"/>
  <c r="N915" i="1"/>
  <c r="M915" i="1"/>
  <c r="L915" i="1"/>
  <c r="K915" i="1"/>
  <c r="J915" i="1"/>
  <c r="I915" i="1"/>
  <c r="H915" i="1"/>
  <c r="G915" i="1"/>
  <c r="AF914" i="1"/>
  <c r="AE914" i="1"/>
  <c r="AD914" i="1"/>
  <c r="AC914" i="1"/>
  <c r="AB914" i="1"/>
  <c r="AA914" i="1"/>
  <c r="Z914" i="1"/>
  <c r="Y914" i="1"/>
  <c r="X914" i="1"/>
  <c r="W914" i="1"/>
  <c r="V914" i="1"/>
  <c r="U914" i="1"/>
  <c r="T914" i="1"/>
  <c r="S914" i="1"/>
  <c r="R914" i="1"/>
  <c r="Q914" i="1"/>
  <c r="P914" i="1"/>
  <c r="O914" i="1"/>
  <c r="N914" i="1"/>
  <c r="M914" i="1"/>
  <c r="L914" i="1"/>
  <c r="K914" i="1"/>
  <c r="J914" i="1"/>
  <c r="I914" i="1"/>
  <c r="H914" i="1"/>
  <c r="G914" i="1"/>
  <c r="AF913" i="1"/>
  <c r="AE913" i="1"/>
  <c r="AD913" i="1"/>
  <c r="AC913" i="1"/>
  <c r="AB913" i="1"/>
  <c r="AA913" i="1"/>
  <c r="Z913" i="1"/>
  <c r="Y913" i="1"/>
  <c r="X913" i="1"/>
  <c r="W913" i="1"/>
  <c r="V913" i="1"/>
  <c r="U913" i="1"/>
  <c r="T913" i="1"/>
  <c r="S913" i="1"/>
  <c r="R913" i="1"/>
  <c r="Q913" i="1"/>
  <c r="P913" i="1"/>
  <c r="O913" i="1"/>
  <c r="N913" i="1"/>
  <c r="M913" i="1"/>
  <c r="L913" i="1"/>
  <c r="K913" i="1"/>
  <c r="J913" i="1"/>
  <c r="I913" i="1"/>
  <c r="H913" i="1"/>
  <c r="G913" i="1"/>
  <c r="AF912" i="1"/>
  <c r="AE912" i="1"/>
  <c r="AD912" i="1"/>
  <c r="AC912" i="1"/>
  <c r="AB912" i="1"/>
  <c r="AA912" i="1"/>
  <c r="Z912" i="1"/>
  <c r="Y912" i="1"/>
  <c r="X912" i="1"/>
  <c r="W912" i="1"/>
  <c r="V912" i="1"/>
  <c r="U912" i="1"/>
  <c r="T912" i="1"/>
  <c r="S912" i="1"/>
  <c r="R912" i="1"/>
  <c r="Q912" i="1"/>
  <c r="P912" i="1"/>
  <c r="O912" i="1"/>
  <c r="N912" i="1"/>
  <c r="M912" i="1"/>
  <c r="L912" i="1"/>
  <c r="K912" i="1"/>
  <c r="J912" i="1"/>
  <c r="I912" i="1"/>
  <c r="H912" i="1"/>
  <c r="G912" i="1"/>
  <c r="AF911" i="1"/>
  <c r="AE911" i="1"/>
  <c r="AD911" i="1"/>
  <c r="AC911" i="1"/>
  <c r="AB911" i="1"/>
  <c r="AA911" i="1"/>
  <c r="Z911" i="1"/>
  <c r="Y911" i="1"/>
  <c r="X911" i="1"/>
  <c r="W911" i="1"/>
  <c r="V911" i="1"/>
  <c r="U911" i="1"/>
  <c r="T911" i="1"/>
  <c r="S911" i="1"/>
  <c r="R911" i="1"/>
  <c r="Q911" i="1"/>
  <c r="P911" i="1"/>
  <c r="O911" i="1"/>
  <c r="N911" i="1"/>
  <c r="M911" i="1"/>
  <c r="L911" i="1"/>
  <c r="K911" i="1"/>
  <c r="J911" i="1"/>
  <c r="I911" i="1"/>
  <c r="H911" i="1"/>
  <c r="G911" i="1"/>
  <c r="AF910" i="1"/>
  <c r="AE910" i="1"/>
  <c r="AD910" i="1"/>
  <c r="AC910" i="1"/>
  <c r="AB910" i="1"/>
  <c r="AA910" i="1"/>
  <c r="Z910" i="1"/>
  <c r="Y910" i="1"/>
  <c r="X910" i="1"/>
  <c r="W910" i="1"/>
  <c r="V910" i="1"/>
  <c r="U910" i="1"/>
  <c r="T910" i="1"/>
  <c r="S910" i="1"/>
  <c r="R910" i="1"/>
  <c r="Q910" i="1"/>
  <c r="P910" i="1"/>
  <c r="O910" i="1"/>
  <c r="N910" i="1"/>
  <c r="M910" i="1"/>
  <c r="L910" i="1"/>
  <c r="K910" i="1"/>
  <c r="J910" i="1"/>
  <c r="I910" i="1"/>
  <c r="H910" i="1"/>
  <c r="G910" i="1"/>
  <c r="AF909" i="1"/>
  <c r="AE909" i="1"/>
  <c r="AD909" i="1"/>
  <c r="AC909" i="1"/>
  <c r="AB909" i="1"/>
  <c r="AA909" i="1"/>
  <c r="Z909" i="1"/>
  <c r="Y909" i="1"/>
  <c r="X909" i="1"/>
  <c r="W909" i="1"/>
  <c r="V909" i="1"/>
  <c r="U909" i="1"/>
  <c r="T909" i="1"/>
  <c r="S909" i="1"/>
  <c r="R909" i="1"/>
  <c r="Q909" i="1"/>
  <c r="P909" i="1"/>
  <c r="O909" i="1"/>
  <c r="N909" i="1"/>
  <c r="M909" i="1"/>
  <c r="L909" i="1"/>
  <c r="K909" i="1"/>
  <c r="J909" i="1"/>
  <c r="I909" i="1"/>
  <c r="H909" i="1"/>
  <c r="G909" i="1"/>
  <c r="AF908" i="1"/>
  <c r="AE908" i="1"/>
  <c r="AD908" i="1"/>
  <c r="AC908" i="1"/>
  <c r="AB908" i="1"/>
  <c r="AA908" i="1"/>
  <c r="Z908" i="1"/>
  <c r="Y908" i="1"/>
  <c r="X908" i="1"/>
  <c r="W908" i="1"/>
  <c r="V908" i="1"/>
  <c r="U908" i="1"/>
  <c r="T908" i="1"/>
  <c r="S908" i="1"/>
  <c r="R908" i="1"/>
  <c r="Q908" i="1"/>
  <c r="P908" i="1"/>
  <c r="O908" i="1"/>
  <c r="N908" i="1"/>
  <c r="M908" i="1"/>
  <c r="L908" i="1"/>
  <c r="K908" i="1"/>
  <c r="J908" i="1"/>
  <c r="I908" i="1"/>
  <c r="H908" i="1"/>
  <c r="G908" i="1"/>
  <c r="AF907" i="1"/>
  <c r="AE907" i="1"/>
  <c r="AD907" i="1"/>
  <c r="AC907" i="1"/>
  <c r="AB907" i="1"/>
  <c r="AA907" i="1"/>
  <c r="Z907" i="1"/>
  <c r="Y907" i="1"/>
  <c r="X907" i="1"/>
  <c r="W907" i="1"/>
  <c r="V907" i="1"/>
  <c r="U907" i="1"/>
  <c r="T907" i="1"/>
  <c r="S907" i="1"/>
  <c r="R907" i="1"/>
  <c r="Q907" i="1"/>
  <c r="P907" i="1"/>
  <c r="O907" i="1"/>
  <c r="N907" i="1"/>
  <c r="M907" i="1"/>
  <c r="L907" i="1"/>
  <c r="K907" i="1"/>
  <c r="J907" i="1"/>
  <c r="I907" i="1"/>
  <c r="H907" i="1"/>
  <c r="G907" i="1"/>
  <c r="AF906" i="1"/>
  <c r="AE906" i="1"/>
  <c r="AD906" i="1"/>
  <c r="AC906" i="1"/>
  <c r="AB906" i="1"/>
  <c r="AA906" i="1"/>
  <c r="Z906" i="1"/>
  <c r="Y906" i="1"/>
  <c r="X906" i="1"/>
  <c r="W906" i="1"/>
  <c r="V906" i="1"/>
  <c r="U906" i="1"/>
  <c r="T906" i="1"/>
  <c r="S906" i="1"/>
  <c r="R906" i="1"/>
  <c r="Q906" i="1"/>
  <c r="P906" i="1"/>
  <c r="O906" i="1"/>
  <c r="N906" i="1"/>
  <c r="M906" i="1"/>
  <c r="L906" i="1"/>
  <c r="K906" i="1"/>
  <c r="J906" i="1"/>
  <c r="I906" i="1"/>
  <c r="H906" i="1"/>
  <c r="G906" i="1"/>
  <c r="AF905" i="1"/>
  <c r="AE905" i="1"/>
  <c r="AD905" i="1"/>
  <c r="AC905" i="1"/>
  <c r="AB905" i="1"/>
  <c r="AA905" i="1"/>
  <c r="Z905" i="1"/>
  <c r="Y905" i="1"/>
  <c r="X905" i="1"/>
  <c r="W905" i="1"/>
  <c r="V905" i="1"/>
  <c r="U905" i="1"/>
  <c r="T905" i="1"/>
  <c r="S905" i="1"/>
  <c r="R905" i="1"/>
  <c r="Q905" i="1"/>
  <c r="P905" i="1"/>
  <c r="O905" i="1"/>
  <c r="N905" i="1"/>
  <c r="M905" i="1"/>
  <c r="L905" i="1"/>
  <c r="K905" i="1"/>
  <c r="J905" i="1"/>
  <c r="I905" i="1"/>
  <c r="H905" i="1"/>
  <c r="G905" i="1"/>
  <c r="AF904" i="1"/>
  <c r="AE904" i="1"/>
  <c r="AD904" i="1"/>
  <c r="AC904" i="1"/>
  <c r="AB904" i="1"/>
  <c r="AA904" i="1"/>
  <c r="Z904" i="1"/>
  <c r="Y904" i="1"/>
  <c r="X904" i="1"/>
  <c r="W904" i="1"/>
  <c r="V904" i="1"/>
  <c r="U904" i="1"/>
  <c r="T904" i="1"/>
  <c r="S904" i="1"/>
  <c r="R904" i="1"/>
  <c r="Q904" i="1"/>
  <c r="P904" i="1"/>
  <c r="O904" i="1"/>
  <c r="N904" i="1"/>
  <c r="M904" i="1"/>
  <c r="L904" i="1"/>
  <c r="K904" i="1"/>
  <c r="J904" i="1"/>
  <c r="I904" i="1"/>
  <c r="H904" i="1"/>
  <c r="G904" i="1"/>
  <c r="AF903" i="1"/>
  <c r="AE903" i="1"/>
  <c r="AD903" i="1"/>
  <c r="AC903" i="1"/>
  <c r="AB903" i="1"/>
  <c r="AA903" i="1"/>
  <c r="Z903" i="1"/>
  <c r="Y903" i="1"/>
  <c r="X903" i="1"/>
  <c r="W903" i="1"/>
  <c r="V903" i="1"/>
  <c r="U903" i="1"/>
  <c r="T903" i="1"/>
  <c r="S903" i="1"/>
  <c r="R903" i="1"/>
  <c r="Q903" i="1"/>
  <c r="P903" i="1"/>
  <c r="O903" i="1"/>
  <c r="N903" i="1"/>
  <c r="M903" i="1"/>
  <c r="L903" i="1"/>
  <c r="K903" i="1"/>
  <c r="J903" i="1"/>
  <c r="I903" i="1"/>
  <c r="H903" i="1"/>
  <c r="G903" i="1"/>
  <c r="AF902" i="1"/>
  <c r="AE902" i="1"/>
  <c r="AD902" i="1"/>
  <c r="AC902" i="1"/>
  <c r="AB902" i="1"/>
  <c r="AA902" i="1"/>
  <c r="Z902" i="1"/>
  <c r="Y902" i="1"/>
  <c r="X902" i="1"/>
  <c r="W902" i="1"/>
  <c r="V902" i="1"/>
  <c r="U902" i="1"/>
  <c r="T902" i="1"/>
  <c r="S902" i="1"/>
  <c r="R902" i="1"/>
  <c r="Q902" i="1"/>
  <c r="P902" i="1"/>
  <c r="O902" i="1"/>
  <c r="N902" i="1"/>
  <c r="M902" i="1"/>
  <c r="L902" i="1"/>
  <c r="K902" i="1"/>
  <c r="J902" i="1"/>
  <c r="I902" i="1"/>
  <c r="H902" i="1"/>
  <c r="G902" i="1"/>
  <c r="AF901" i="1"/>
  <c r="AE901" i="1"/>
  <c r="AD901" i="1"/>
  <c r="AC901" i="1"/>
  <c r="AB901" i="1"/>
  <c r="AA901" i="1"/>
  <c r="Z901" i="1"/>
  <c r="Y901" i="1"/>
  <c r="X901" i="1"/>
  <c r="W901" i="1"/>
  <c r="V901" i="1"/>
  <c r="U901" i="1"/>
  <c r="T901" i="1"/>
  <c r="S901" i="1"/>
  <c r="R901" i="1"/>
  <c r="Q901" i="1"/>
  <c r="P901" i="1"/>
  <c r="O901" i="1"/>
  <c r="N901" i="1"/>
  <c r="M901" i="1"/>
  <c r="L901" i="1"/>
  <c r="K901" i="1"/>
  <c r="J901" i="1"/>
  <c r="I901" i="1"/>
  <c r="H901" i="1"/>
  <c r="G901" i="1"/>
  <c r="AF900" i="1"/>
  <c r="AE900" i="1"/>
  <c r="AD900" i="1"/>
  <c r="AC900" i="1"/>
  <c r="AB900" i="1"/>
  <c r="AA900" i="1"/>
  <c r="Z900" i="1"/>
  <c r="Y900" i="1"/>
  <c r="X900" i="1"/>
  <c r="W900" i="1"/>
  <c r="V900" i="1"/>
  <c r="U900" i="1"/>
  <c r="T900" i="1"/>
  <c r="S900" i="1"/>
  <c r="R900" i="1"/>
  <c r="Q900" i="1"/>
  <c r="P900" i="1"/>
  <c r="O900" i="1"/>
  <c r="N900" i="1"/>
  <c r="M900" i="1"/>
  <c r="L900" i="1"/>
  <c r="K900" i="1"/>
  <c r="J900" i="1"/>
  <c r="I900" i="1"/>
  <c r="H900" i="1"/>
  <c r="G900" i="1"/>
  <c r="AF899" i="1"/>
  <c r="AE899" i="1"/>
  <c r="AD899" i="1"/>
  <c r="AC899" i="1"/>
  <c r="AB899" i="1"/>
  <c r="AA899" i="1"/>
  <c r="Z899" i="1"/>
  <c r="Y899" i="1"/>
  <c r="X899" i="1"/>
  <c r="W899" i="1"/>
  <c r="V899" i="1"/>
  <c r="U899" i="1"/>
  <c r="T899" i="1"/>
  <c r="S899" i="1"/>
  <c r="R899" i="1"/>
  <c r="Q899" i="1"/>
  <c r="P899" i="1"/>
  <c r="O899" i="1"/>
  <c r="N899" i="1"/>
  <c r="M899" i="1"/>
  <c r="L899" i="1"/>
  <c r="K899" i="1"/>
  <c r="J899" i="1"/>
  <c r="I899" i="1"/>
  <c r="H899" i="1"/>
  <c r="G899" i="1"/>
  <c r="AF898" i="1"/>
  <c r="AE898" i="1"/>
  <c r="AD898" i="1"/>
  <c r="AC898" i="1"/>
  <c r="AB898" i="1"/>
  <c r="AA898" i="1"/>
  <c r="Z898" i="1"/>
  <c r="Y898" i="1"/>
  <c r="X898" i="1"/>
  <c r="W898" i="1"/>
  <c r="V898" i="1"/>
  <c r="U898" i="1"/>
  <c r="T898" i="1"/>
  <c r="S898" i="1"/>
  <c r="R898" i="1"/>
  <c r="Q898" i="1"/>
  <c r="P898" i="1"/>
  <c r="O898" i="1"/>
  <c r="N898" i="1"/>
  <c r="M898" i="1"/>
  <c r="L898" i="1"/>
  <c r="K898" i="1"/>
  <c r="J898" i="1"/>
  <c r="I898" i="1"/>
  <c r="H898" i="1"/>
  <c r="G898" i="1"/>
  <c r="AF897" i="1"/>
  <c r="AE897" i="1"/>
  <c r="AD897" i="1"/>
  <c r="AC897" i="1"/>
  <c r="AB897" i="1"/>
  <c r="AA897" i="1"/>
  <c r="Z897" i="1"/>
  <c r="Y897" i="1"/>
  <c r="X897" i="1"/>
  <c r="W897" i="1"/>
  <c r="V897" i="1"/>
  <c r="U897" i="1"/>
  <c r="T897" i="1"/>
  <c r="S897" i="1"/>
  <c r="R897" i="1"/>
  <c r="Q897" i="1"/>
  <c r="P897" i="1"/>
  <c r="O897" i="1"/>
  <c r="N897" i="1"/>
  <c r="M897" i="1"/>
  <c r="L897" i="1"/>
  <c r="K897" i="1"/>
  <c r="J897" i="1"/>
  <c r="I897" i="1"/>
  <c r="H897" i="1"/>
  <c r="G897" i="1"/>
  <c r="AF896" i="1"/>
  <c r="AE896" i="1"/>
  <c r="AD896" i="1"/>
  <c r="AC896" i="1"/>
  <c r="AB896" i="1"/>
  <c r="AA896" i="1"/>
  <c r="Z896" i="1"/>
  <c r="Y896" i="1"/>
  <c r="X896" i="1"/>
  <c r="W896" i="1"/>
  <c r="V896" i="1"/>
  <c r="U896" i="1"/>
  <c r="T896" i="1"/>
  <c r="S896" i="1"/>
  <c r="R896" i="1"/>
  <c r="Q896" i="1"/>
  <c r="P896" i="1"/>
  <c r="O896" i="1"/>
  <c r="N896" i="1"/>
  <c r="M896" i="1"/>
  <c r="L896" i="1"/>
  <c r="K896" i="1"/>
  <c r="J896" i="1"/>
  <c r="I896" i="1"/>
  <c r="H896" i="1"/>
  <c r="G896" i="1"/>
  <c r="AF895" i="1"/>
  <c r="AE895" i="1"/>
  <c r="AD895" i="1"/>
  <c r="AC895" i="1"/>
  <c r="AB895" i="1"/>
  <c r="AA895" i="1"/>
  <c r="Z895" i="1"/>
  <c r="Y895" i="1"/>
  <c r="X895" i="1"/>
  <c r="W895" i="1"/>
  <c r="V895" i="1"/>
  <c r="U895" i="1"/>
  <c r="T895" i="1"/>
  <c r="S895" i="1"/>
  <c r="R895" i="1"/>
  <c r="Q895" i="1"/>
  <c r="P895" i="1"/>
  <c r="O895" i="1"/>
  <c r="N895" i="1"/>
  <c r="M895" i="1"/>
  <c r="L895" i="1"/>
  <c r="K895" i="1"/>
  <c r="J895" i="1"/>
  <c r="I895" i="1"/>
  <c r="H895" i="1"/>
  <c r="G895" i="1"/>
  <c r="AF894" i="1"/>
  <c r="AE894" i="1"/>
  <c r="AD894" i="1"/>
  <c r="AC894" i="1"/>
  <c r="AB894" i="1"/>
  <c r="AA894" i="1"/>
  <c r="Z894" i="1"/>
  <c r="Y894" i="1"/>
  <c r="X894" i="1"/>
  <c r="W894" i="1"/>
  <c r="V894" i="1"/>
  <c r="U894" i="1"/>
  <c r="T894" i="1"/>
  <c r="S894" i="1"/>
  <c r="R894" i="1"/>
  <c r="Q894" i="1"/>
  <c r="P894" i="1"/>
  <c r="O894" i="1"/>
  <c r="N894" i="1"/>
  <c r="M894" i="1"/>
  <c r="L894" i="1"/>
  <c r="K894" i="1"/>
  <c r="J894" i="1"/>
  <c r="I894" i="1"/>
  <c r="H894" i="1"/>
  <c r="G894" i="1"/>
  <c r="AF893" i="1"/>
  <c r="AE893" i="1"/>
  <c r="AD893" i="1"/>
  <c r="AC893" i="1"/>
  <c r="AB893" i="1"/>
  <c r="AA893" i="1"/>
  <c r="Z893" i="1"/>
  <c r="Y893" i="1"/>
  <c r="X893" i="1"/>
  <c r="W893" i="1"/>
  <c r="V893" i="1"/>
  <c r="U893" i="1"/>
  <c r="T893" i="1"/>
  <c r="S893" i="1"/>
  <c r="R893" i="1"/>
  <c r="Q893" i="1"/>
  <c r="P893" i="1"/>
  <c r="O893" i="1"/>
  <c r="N893" i="1"/>
  <c r="M893" i="1"/>
  <c r="L893" i="1"/>
  <c r="K893" i="1"/>
  <c r="J893" i="1"/>
  <c r="I893" i="1"/>
  <c r="H893" i="1"/>
  <c r="G893" i="1"/>
  <c r="AF892" i="1"/>
  <c r="AE892" i="1"/>
  <c r="AD892" i="1"/>
  <c r="AC892" i="1"/>
  <c r="AB892" i="1"/>
  <c r="AA892" i="1"/>
  <c r="Z892" i="1"/>
  <c r="Y892" i="1"/>
  <c r="X892" i="1"/>
  <c r="W892" i="1"/>
  <c r="V892" i="1"/>
  <c r="U892" i="1"/>
  <c r="T892" i="1"/>
  <c r="S892" i="1"/>
  <c r="R892" i="1"/>
  <c r="Q892" i="1"/>
  <c r="P892" i="1"/>
  <c r="O892" i="1"/>
  <c r="N892" i="1"/>
  <c r="M892" i="1"/>
  <c r="L892" i="1"/>
  <c r="K892" i="1"/>
  <c r="J892" i="1"/>
  <c r="I892" i="1"/>
  <c r="H892" i="1"/>
  <c r="G892" i="1"/>
  <c r="AF891" i="1"/>
  <c r="AE891" i="1"/>
  <c r="AD891" i="1"/>
  <c r="AC891" i="1"/>
  <c r="AB891" i="1"/>
  <c r="AA891" i="1"/>
  <c r="Z891" i="1"/>
  <c r="Y891" i="1"/>
  <c r="X891" i="1"/>
  <c r="W891" i="1"/>
  <c r="V891" i="1"/>
  <c r="U891" i="1"/>
  <c r="T891" i="1"/>
  <c r="S891" i="1"/>
  <c r="R891" i="1"/>
  <c r="Q891" i="1"/>
  <c r="P891" i="1"/>
  <c r="O891" i="1"/>
  <c r="N891" i="1"/>
  <c r="M891" i="1"/>
  <c r="L891" i="1"/>
  <c r="K891" i="1"/>
  <c r="J891" i="1"/>
  <c r="I891" i="1"/>
  <c r="H891" i="1"/>
  <c r="G891" i="1"/>
  <c r="AF890" i="1"/>
  <c r="AE890" i="1"/>
  <c r="AD890" i="1"/>
  <c r="AC890" i="1"/>
  <c r="AB890" i="1"/>
  <c r="AA890" i="1"/>
  <c r="Z890" i="1"/>
  <c r="Y890" i="1"/>
  <c r="X890" i="1"/>
  <c r="W890" i="1"/>
  <c r="V890" i="1"/>
  <c r="U890" i="1"/>
  <c r="T890" i="1"/>
  <c r="S890" i="1"/>
  <c r="R890" i="1"/>
  <c r="Q890" i="1"/>
  <c r="P890" i="1"/>
  <c r="O890" i="1"/>
  <c r="N890" i="1"/>
  <c r="M890" i="1"/>
  <c r="L890" i="1"/>
  <c r="K890" i="1"/>
  <c r="J890" i="1"/>
  <c r="I890" i="1"/>
  <c r="H890" i="1"/>
  <c r="G890" i="1"/>
  <c r="AF889" i="1"/>
  <c r="AE889" i="1"/>
  <c r="AD889" i="1"/>
  <c r="AC889" i="1"/>
  <c r="AB889" i="1"/>
  <c r="AA889" i="1"/>
  <c r="Z889" i="1"/>
  <c r="Y889" i="1"/>
  <c r="X889" i="1"/>
  <c r="W889" i="1"/>
  <c r="V889" i="1"/>
  <c r="U889" i="1"/>
  <c r="T889" i="1"/>
  <c r="S889" i="1"/>
  <c r="R889" i="1"/>
  <c r="Q889" i="1"/>
  <c r="P889" i="1"/>
  <c r="O889" i="1"/>
  <c r="N889" i="1"/>
  <c r="M889" i="1"/>
  <c r="L889" i="1"/>
  <c r="K889" i="1"/>
  <c r="J889" i="1"/>
  <c r="I889" i="1"/>
  <c r="H889" i="1"/>
  <c r="G889" i="1"/>
  <c r="AF888" i="1"/>
  <c r="AE888" i="1"/>
  <c r="AD888" i="1"/>
  <c r="AC888" i="1"/>
  <c r="AB888" i="1"/>
  <c r="AA888" i="1"/>
  <c r="Z888" i="1"/>
  <c r="Y888" i="1"/>
  <c r="X888" i="1"/>
  <c r="W888" i="1"/>
  <c r="V888" i="1"/>
  <c r="U888" i="1"/>
  <c r="T888" i="1"/>
  <c r="S888" i="1"/>
  <c r="R888" i="1"/>
  <c r="Q888" i="1"/>
  <c r="P888" i="1"/>
  <c r="O888" i="1"/>
  <c r="N888" i="1"/>
  <c r="M888" i="1"/>
  <c r="L888" i="1"/>
  <c r="K888" i="1"/>
  <c r="J888" i="1"/>
  <c r="I888" i="1"/>
  <c r="H888" i="1"/>
  <c r="G888" i="1"/>
  <c r="AF887" i="1"/>
  <c r="AE887" i="1"/>
  <c r="AD887" i="1"/>
  <c r="AC887" i="1"/>
  <c r="AB887" i="1"/>
  <c r="AA887" i="1"/>
  <c r="Z887" i="1"/>
  <c r="Y887" i="1"/>
  <c r="X887" i="1"/>
  <c r="W887" i="1"/>
  <c r="V887" i="1"/>
  <c r="U887" i="1"/>
  <c r="T887" i="1"/>
  <c r="S887" i="1"/>
  <c r="R887" i="1"/>
  <c r="Q887" i="1"/>
  <c r="P887" i="1"/>
  <c r="O887" i="1"/>
  <c r="N887" i="1"/>
  <c r="M887" i="1"/>
  <c r="L887" i="1"/>
  <c r="K887" i="1"/>
  <c r="J887" i="1"/>
  <c r="I887" i="1"/>
  <c r="H887" i="1"/>
  <c r="G887" i="1"/>
  <c r="AF886" i="1"/>
  <c r="AE886" i="1"/>
  <c r="AD886" i="1"/>
  <c r="AC886" i="1"/>
  <c r="AB886" i="1"/>
  <c r="AA886" i="1"/>
  <c r="Z886" i="1"/>
  <c r="Y886" i="1"/>
  <c r="X886" i="1"/>
  <c r="W886" i="1"/>
  <c r="V886" i="1"/>
  <c r="U886" i="1"/>
  <c r="T886" i="1"/>
  <c r="S886" i="1"/>
  <c r="R886" i="1"/>
  <c r="Q886" i="1"/>
  <c r="P886" i="1"/>
  <c r="O886" i="1"/>
  <c r="N886" i="1"/>
  <c r="M886" i="1"/>
  <c r="L886" i="1"/>
  <c r="K886" i="1"/>
  <c r="J886" i="1"/>
  <c r="I886" i="1"/>
  <c r="H886" i="1"/>
  <c r="G886" i="1"/>
  <c r="AF885" i="1"/>
  <c r="AE885" i="1"/>
  <c r="AD885" i="1"/>
  <c r="AC885" i="1"/>
  <c r="AB885" i="1"/>
  <c r="AA885" i="1"/>
  <c r="Z885" i="1"/>
  <c r="Y885" i="1"/>
  <c r="X885" i="1"/>
  <c r="W885" i="1"/>
  <c r="V885" i="1"/>
  <c r="U885" i="1"/>
  <c r="T885" i="1"/>
  <c r="S885" i="1"/>
  <c r="R885" i="1"/>
  <c r="Q885" i="1"/>
  <c r="P885" i="1"/>
  <c r="O885" i="1"/>
  <c r="N885" i="1"/>
  <c r="M885" i="1"/>
  <c r="L885" i="1"/>
  <c r="K885" i="1"/>
  <c r="J885" i="1"/>
  <c r="I885" i="1"/>
  <c r="H885" i="1"/>
  <c r="G885" i="1"/>
  <c r="AF884" i="1"/>
  <c r="AE884" i="1"/>
  <c r="AD884" i="1"/>
  <c r="AC884" i="1"/>
  <c r="AB884" i="1"/>
  <c r="AA884" i="1"/>
  <c r="Z884" i="1"/>
  <c r="Y884" i="1"/>
  <c r="X884" i="1"/>
  <c r="W884" i="1"/>
  <c r="V884" i="1"/>
  <c r="U884" i="1"/>
  <c r="T884" i="1"/>
  <c r="S884" i="1"/>
  <c r="R884" i="1"/>
  <c r="Q884" i="1"/>
  <c r="P884" i="1"/>
  <c r="O884" i="1"/>
  <c r="N884" i="1"/>
  <c r="M884" i="1"/>
  <c r="L884" i="1"/>
  <c r="K884" i="1"/>
  <c r="J884" i="1"/>
  <c r="I884" i="1"/>
  <c r="H884" i="1"/>
  <c r="G884" i="1"/>
  <c r="AF883" i="1"/>
  <c r="AE883" i="1"/>
  <c r="AD883" i="1"/>
  <c r="AC883" i="1"/>
  <c r="AB883" i="1"/>
  <c r="AA883" i="1"/>
  <c r="Z883" i="1"/>
  <c r="Y883" i="1"/>
  <c r="X883" i="1"/>
  <c r="W883" i="1"/>
  <c r="V883" i="1"/>
  <c r="U883" i="1"/>
  <c r="T883" i="1"/>
  <c r="S883" i="1"/>
  <c r="R883" i="1"/>
  <c r="Q883" i="1"/>
  <c r="P883" i="1"/>
  <c r="O883" i="1"/>
  <c r="N883" i="1"/>
  <c r="M883" i="1"/>
  <c r="L883" i="1"/>
  <c r="K883" i="1"/>
  <c r="J883" i="1"/>
  <c r="I883" i="1"/>
  <c r="H883" i="1"/>
  <c r="G883" i="1"/>
  <c r="AF882" i="1"/>
  <c r="AE882" i="1"/>
  <c r="AD882" i="1"/>
  <c r="AC882" i="1"/>
  <c r="AB882" i="1"/>
  <c r="AA882" i="1"/>
  <c r="Z882" i="1"/>
  <c r="Y882" i="1"/>
  <c r="X882" i="1"/>
  <c r="W882" i="1"/>
  <c r="V882" i="1"/>
  <c r="U882" i="1"/>
  <c r="T882" i="1"/>
  <c r="S882" i="1"/>
  <c r="R882" i="1"/>
  <c r="Q882" i="1"/>
  <c r="P882" i="1"/>
  <c r="O882" i="1"/>
  <c r="N882" i="1"/>
  <c r="M882" i="1"/>
  <c r="L882" i="1"/>
  <c r="K882" i="1"/>
  <c r="J882" i="1"/>
  <c r="I882" i="1"/>
  <c r="H882" i="1"/>
  <c r="G882" i="1"/>
  <c r="AF881" i="1"/>
  <c r="AE881" i="1"/>
  <c r="AD881" i="1"/>
  <c r="AC881" i="1"/>
  <c r="AB881" i="1"/>
  <c r="AA881" i="1"/>
  <c r="Z881" i="1"/>
  <c r="Y881" i="1"/>
  <c r="X881" i="1"/>
  <c r="W881" i="1"/>
  <c r="V881" i="1"/>
  <c r="U881" i="1"/>
  <c r="T881" i="1"/>
  <c r="S881" i="1"/>
  <c r="R881" i="1"/>
  <c r="Q881" i="1"/>
  <c r="P881" i="1"/>
  <c r="O881" i="1"/>
  <c r="N881" i="1"/>
  <c r="M881" i="1"/>
  <c r="L881" i="1"/>
  <c r="K881" i="1"/>
  <c r="J881" i="1"/>
  <c r="I881" i="1"/>
  <c r="H881" i="1"/>
  <c r="G881" i="1"/>
  <c r="AF880" i="1"/>
  <c r="AE880" i="1"/>
  <c r="AD880" i="1"/>
  <c r="AC880" i="1"/>
  <c r="AB880" i="1"/>
  <c r="AA880" i="1"/>
  <c r="Z880" i="1"/>
  <c r="Y880" i="1"/>
  <c r="X880" i="1"/>
  <c r="W880" i="1"/>
  <c r="V880" i="1"/>
  <c r="U880" i="1"/>
  <c r="T880" i="1"/>
  <c r="S880" i="1"/>
  <c r="R880" i="1"/>
  <c r="Q880" i="1"/>
  <c r="P880" i="1"/>
  <c r="O880" i="1"/>
  <c r="N880" i="1"/>
  <c r="M880" i="1"/>
  <c r="L880" i="1"/>
  <c r="K880" i="1"/>
  <c r="J880" i="1"/>
  <c r="I880" i="1"/>
  <c r="H880" i="1"/>
  <c r="G880" i="1"/>
  <c r="AF879" i="1"/>
  <c r="AE879" i="1"/>
  <c r="AD879" i="1"/>
  <c r="AC879" i="1"/>
  <c r="AB879" i="1"/>
  <c r="AA879" i="1"/>
  <c r="Z879" i="1"/>
  <c r="Y879" i="1"/>
  <c r="X879" i="1"/>
  <c r="W879" i="1"/>
  <c r="V879" i="1"/>
  <c r="U879" i="1"/>
  <c r="T879" i="1"/>
  <c r="S879" i="1"/>
  <c r="R879" i="1"/>
  <c r="Q879" i="1"/>
  <c r="P879" i="1"/>
  <c r="O879" i="1"/>
  <c r="N879" i="1"/>
  <c r="M879" i="1"/>
  <c r="L879" i="1"/>
  <c r="K879" i="1"/>
  <c r="J879" i="1"/>
  <c r="I879" i="1"/>
  <c r="H879" i="1"/>
  <c r="G879" i="1"/>
  <c r="AF878" i="1"/>
  <c r="AE878" i="1"/>
  <c r="AD878" i="1"/>
  <c r="AC878" i="1"/>
  <c r="AB878" i="1"/>
  <c r="AA878" i="1"/>
  <c r="Z878" i="1"/>
  <c r="Y878" i="1"/>
  <c r="X878" i="1"/>
  <c r="W878" i="1"/>
  <c r="V878" i="1"/>
  <c r="U878" i="1"/>
  <c r="T878" i="1"/>
  <c r="S878" i="1"/>
  <c r="R878" i="1"/>
  <c r="Q878" i="1"/>
  <c r="P878" i="1"/>
  <c r="O878" i="1"/>
  <c r="N878" i="1"/>
  <c r="M878" i="1"/>
  <c r="L878" i="1"/>
  <c r="K878" i="1"/>
  <c r="J878" i="1"/>
  <c r="I878" i="1"/>
  <c r="H878" i="1"/>
  <c r="G878" i="1"/>
  <c r="AF877" i="1"/>
  <c r="AE877" i="1"/>
  <c r="AD877" i="1"/>
  <c r="AC877" i="1"/>
  <c r="AB877" i="1"/>
  <c r="AA877" i="1"/>
  <c r="Z877" i="1"/>
  <c r="Y877" i="1"/>
  <c r="X877" i="1"/>
  <c r="W877" i="1"/>
  <c r="V877" i="1"/>
  <c r="U877" i="1"/>
  <c r="T877" i="1"/>
  <c r="S877" i="1"/>
  <c r="R877" i="1"/>
  <c r="Q877" i="1"/>
  <c r="P877" i="1"/>
  <c r="O877" i="1"/>
  <c r="N877" i="1"/>
  <c r="M877" i="1"/>
  <c r="L877" i="1"/>
  <c r="K877" i="1"/>
  <c r="J877" i="1"/>
  <c r="I877" i="1"/>
  <c r="H877" i="1"/>
  <c r="G877" i="1"/>
  <c r="F668" i="1"/>
  <c r="F669" i="1"/>
  <c r="F655" i="1"/>
  <c r="F665" i="1"/>
  <c r="F666" i="1"/>
  <c r="F677" i="1"/>
  <c r="F667" i="1"/>
  <c r="F85" i="1"/>
  <c r="F489" i="1"/>
  <c r="F490" i="1"/>
  <c r="F21" i="1"/>
  <c r="F20" i="1"/>
  <c r="F252" i="1"/>
  <c r="F491" i="1"/>
  <c r="F492" i="1"/>
  <c r="F493" i="1"/>
  <c r="F494" i="1"/>
  <c r="F261" i="1"/>
  <c r="F265" i="1"/>
  <c r="F495" i="1"/>
  <c r="F496" i="1"/>
  <c r="F137" i="1"/>
  <c r="F138" i="1"/>
  <c r="F70" i="1"/>
  <c r="F518" i="1"/>
  <c r="F519" i="1"/>
  <c r="F516" i="1"/>
  <c r="F78" i="1"/>
  <c r="F86" i="1"/>
  <c r="F83" i="1"/>
  <c r="F82"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E668" i="1"/>
  <c r="E669" i="1"/>
  <c r="E655" i="1"/>
  <c r="E665" i="1"/>
  <c r="E666" i="1"/>
  <c r="E677" i="1"/>
  <c r="E667" i="1"/>
  <c r="E85" i="1"/>
  <c r="E489" i="1"/>
  <c r="E490" i="1"/>
  <c r="E21" i="1"/>
  <c r="E20" i="1"/>
  <c r="E252" i="1"/>
  <c r="E491" i="1"/>
  <c r="E492" i="1"/>
  <c r="E493" i="1"/>
  <c r="E494" i="1"/>
  <c r="E261" i="1"/>
  <c r="E265" i="1"/>
  <c r="E495" i="1"/>
  <c r="E496" i="1"/>
  <c r="E137" i="1"/>
  <c r="E138" i="1"/>
  <c r="E70" i="1"/>
  <c r="E518" i="1"/>
  <c r="E519" i="1"/>
  <c r="E516" i="1"/>
  <c r="E78" i="1"/>
  <c r="E86" i="1"/>
  <c r="E83" i="1"/>
  <c r="E82" i="1"/>
  <c r="E955" i="1"/>
  <c r="E954" i="1"/>
  <c r="E953" i="1"/>
  <c r="E952" i="1"/>
  <c r="E951" i="1"/>
  <c r="E950" i="1"/>
  <c r="E949" i="1"/>
  <c r="E948" i="1"/>
  <c r="E947" i="1"/>
  <c r="E946" i="1"/>
  <c r="E945" i="1"/>
  <c r="E944" i="1"/>
  <c r="E943" i="1"/>
  <c r="E942" i="1"/>
  <c r="E941" i="1"/>
  <c r="E940" i="1"/>
  <c r="E939" i="1"/>
  <c r="E938" i="1"/>
  <c r="E937" i="1"/>
  <c r="E936" i="1"/>
  <c r="E935" i="1"/>
  <c r="E934" i="1"/>
  <c r="E933" i="1"/>
  <c r="E932" i="1"/>
  <c r="E931" i="1"/>
  <c r="E930" i="1"/>
  <c r="E929" i="1"/>
  <c r="E928" i="1"/>
  <c r="E927" i="1"/>
  <c r="E926" i="1"/>
  <c r="E925" i="1"/>
  <c r="E924" i="1"/>
  <c r="E923" i="1"/>
  <c r="E922" i="1"/>
  <c r="E921" i="1"/>
  <c r="E920" i="1"/>
  <c r="E919" i="1"/>
  <c r="E918" i="1"/>
  <c r="E917" i="1"/>
  <c r="E915" i="1"/>
  <c r="E914" i="1"/>
  <c r="E913" i="1"/>
  <c r="E912" i="1"/>
  <c r="E911" i="1"/>
  <c r="E910" i="1"/>
  <c r="E909" i="1"/>
  <c r="E908" i="1"/>
  <c r="E907" i="1"/>
  <c r="E906" i="1"/>
  <c r="E905" i="1"/>
  <c r="E904" i="1"/>
  <c r="E903" i="1"/>
  <c r="E902" i="1"/>
  <c r="E901" i="1"/>
  <c r="E900" i="1"/>
  <c r="E899" i="1"/>
  <c r="E898" i="1"/>
  <c r="E897" i="1"/>
  <c r="E896" i="1"/>
  <c r="E895" i="1"/>
  <c r="E894" i="1"/>
  <c r="E893" i="1"/>
  <c r="E892" i="1"/>
  <c r="E891" i="1"/>
  <c r="E890" i="1"/>
  <c r="E889" i="1"/>
  <c r="E888" i="1"/>
  <c r="E887" i="1"/>
  <c r="E886" i="1"/>
  <c r="E885" i="1"/>
  <c r="E884" i="1"/>
  <c r="E883" i="1"/>
  <c r="E882" i="1"/>
  <c r="E881" i="1"/>
  <c r="E880" i="1"/>
  <c r="E879" i="1"/>
  <c r="E878" i="1"/>
  <c r="E877" i="1"/>
  <c r="D668" i="1"/>
  <c r="D669" i="1"/>
  <c r="D655" i="1"/>
  <c r="D665" i="1"/>
  <c r="D666" i="1"/>
  <c r="D677" i="1"/>
  <c r="D667" i="1"/>
  <c r="D85" i="1"/>
  <c r="D489" i="1"/>
  <c r="D490" i="1"/>
  <c r="D21" i="1"/>
  <c r="D20" i="1"/>
  <c r="D252" i="1"/>
  <c r="D491" i="1"/>
  <c r="D492" i="1"/>
  <c r="D493" i="1"/>
  <c r="D494" i="1"/>
  <c r="D261" i="1"/>
  <c r="D265" i="1"/>
  <c r="D495" i="1"/>
  <c r="D496" i="1"/>
  <c r="D137" i="1"/>
  <c r="D138" i="1"/>
  <c r="D70" i="1"/>
  <c r="D518" i="1"/>
  <c r="D519" i="1"/>
  <c r="D516" i="1"/>
  <c r="D78" i="1"/>
  <c r="D86" i="1"/>
  <c r="D83" i="1"/>
  <c r="D82" i="1"/>
  <c r="D955" i="1"/>
  <c r="D954" i="1"/>
  <c r="D953" i="1"/>
  <c r="D952" i="1"/>
  <c r="D951" i="1"/>
  <c r="D950" i="1"/>
  <c r="D949" i="1"/>
  <c r="D948" i="1"/>
  <c r="D947" i="1"/>
  <c r="D946" i="1"/>
  <c r="D945" i="1"/>
  <c r="D944" i="1"/>
  <c r="D943" i="1"/>
  <c r="D942" i="1"/>
  <c r="D941" i="1"/>
  <c r="D940" i="1"/>
  <c r="D939" i="1"/>
  <c r="D938" i="1"/>
  <c r="D937" i="1"/>
  <c r="D936" i="1"/>
  <c r="D935" i="1"/>
  <c r="D934" i="1"/>
  <c r="D933" i="1"/>
  <c r="D932" i="1"/>
  <c r="D931" i="1"/>
  <c r="D930" i="1"/>
  <c r="D929" i="1"/>
  <c r="D928" i="1"/>
  <c r="D927" i="1"/>
  <c r="D926" i="1"/>
  <c r="D925" i="1"/>
  <c r="D924" i="1"/>
  <c r="D923" i="1"/>
  <c r="D922" i="1"/>
  <c r="D921" i="1"/>
  <c r="D920" i="1"/>
  <c r="D919" i="1"/>
  <c r="D918" i="1"/>
  <c r="D917" i="1"/>
  <c r="D915" i="1"/>
  <c r="D914" i="1"/>
  <c r="D913" i="1"/>
  <c r="D912" i="1"/>
  <c r="D911" i="1"/>
  <c r="D910" i="1"/>
  <c r="D909" i="1"/>
  <c r="D908" i="1"/>
  <c r="D907" i="1"/>
  <c r="D906" i="1"/>
  <c r="D905" i="1"/>
  <c r="D904" i="1"/>
  <c r="D903" i="1"/>
  <c r="D902" i="1"/>
  <c r="D901" i="1"/>
  <c r="D900" i="1"/>
  <c r="D899" i="1"/>
  <c r="D898" i="1"/>
  <c r="D897" i="1"/>
  <c r="D896" i="1"/>
  <c r="D895" i="1"/>
  <c r="D894" i="1"/>
  <c r="D893" i="1"/>
  <c r="D892" i="1"/>
  <c r="D891" i="1"/>
  <c r="D890" i="1"/>
  <c r="D889" i="1"/>
  <c r="D888" i="1"/>
  <c r="D887" i="1"/>
  <c r="D886" i="1"/>
  <c r="D885" i="1"/>
  <c r="D884" i="1"/>
  <c r="D883" i="1"/>
  <c r="D882" i="1"/>
  <c r="D881" i="1"/>
  <c r="D880" i="1"/>
  <c r="D879" i="1"/>
  <c r="D878" i="1"/>
  <c r="D877" i="1"/>
  <c r="C668" i="1"/>
  <c r="C669" i="1"/>
  <c r="C655" i="1"/>
  <c r="C665" i="1"/>
  <c r="C666" i="1"/>
  <c r="C677" i="1"/>
  <c r="C667" i="1"/>
  <c r="C85" i="1"/>
  <c r="C489" i="1"/>
  <c r="C490" i="1"/>
  <c r="C21" i="1"/>
  <c r="C20" i="1"/>
  <c r="C252" i="1"/>
  <c r="C491" i="1"/>
  <c r="C492" i="1"/>
  <c r="C493" i="1"/>
  <c r="C494" i="1"/>
  <c r="C261" i="1"/>
  <c r="C265" i="1"/>
  <c r="C495" i="1"/>
  <c r="C496" i="1"/>
  <c r="C137" i="1"/>
  <c r="C138" i="1"/>
  <c r="C70" i="1"/>
  <c r="C518" i="1"/>
  <c r="C519" i="1"/>
  <c r="C516" i="1"/>
  <c r="C78" i="1"/>
  <c r="C86" i="1"/>
  <c r="C83" i="1"/>
  <c r="C82" i="1"/>
  <c r="C955" i="1"/>
  <c r="C954" i="1"/>
  <c r="C953" i="1"/>
  <c r="C952" i="1"/>
  <c r="C951" i="1"/>
  <c r="C950" i="1"/>
  <c r="C949" i="1"/>
  <c r="C948" i="1"/>
  <c r="C947" i="1"/>
  <c r="C946" i="1"/>
  <c r="C945" i="1"/>
  <c r="C944" i="1"/>
  <c r="C943" i="1"/>
  <c r="C942" i="1"/>
  <c r="C941" i="1"/>
  <c r="C940" i="1"/>
  <c r="C939" i="1"/>
  <c r="C938" i="1"/>
  <c r="C937" i="1"/>
  <c r="C936" i="1"/>
  <c r="C935" i="1"/>
  <c r="C934" i="1"/>
  <c r="C933" i="1"/>
  <c r="C932" i="1"/>
  <c r="C931" i="1"/>
  <c r="C930" i="1"/>
  <c r="C929" i="1"/>
  <c r="C928" i="1"/>
  <c r="C927" i="1"/>
  <c r="C926" i="1"/>
  <c r="C925" i="1"/>
  <c r="C924" i="1"/>
  <c r="C923" i="1"/>
  <c r="C922" i="1"/>
  <c r="C921" i="1"/>
  <c r="C920" i="1"/>
  <c r="C919" i="1"/>
  <c r="C918" i="1"/>
  <c r="C91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877" i="1"/>
  <c r="C77" i="1"/>
  <c r="O24" i="1"/>
  <c r="O336" i="1"/>
  <c r="O332" i="1"/>
  <c r="O259" i="1"/>
  <c r="O333" i="1"/>
  <c r="O334" i="1"/>
  <c r="O25" i="1"/>
  <c r="O255" i="1"/>
  <c r="O335" i="1"/>
  <c r="O337" i="1"/>
  <c r="N24" i="1"/>
  <c r="N336" i="1"/>
  <c r="N332" i="1"/>
  <c r="N259" i="1"/>
  <c r="N333" i="1"/>
  <c r="N334" i="1"/>
  <c r="N25" i="1"/>
  <c r="N255" i="1"/>
  <c r="N335" i="1"/>
  <c r="N337" i="1"/>
  <c r="M24" i="1"/>
  <c r="M336" i="1"/>
  <c r="M332" i="1"/>
  <c r="M259" i="1"/>
  <c r="M333" i="1"/>
  <c r="M334" i="1"/>
  <c r="M25" i="1"/>
  <c r="M255" i="1"/>
  <c r="M335" i="1"/>
  <c r="M337" i="1"/>
  <c r="L24" i="1"/>
  <c r="L336" i="1"/>
  <c r="L332" i="1"/>
  <c r="L259" i="1"/>
  <c r="L333" i="1"/>
  <c r="L334" i="1"/>
  <c r="L25" i="1"/>
  <c r="L255" i="1"/>
  <c r="L335" i="1"/>
  <c r="L337" i="1"/>
  <c r="K24" i="1"/>
  <c r="K336" i="1"/>
  <c r="K332" i="1"/>
  <c r="K259" i="1"/>
  <c r="K333" i="1"/>
  <c r="K334" i="1"/>
  <c r="K25" i="1"/>
  <c r="K255" i="1"/>
  <c r="K335" i="1"/>
  <c r="K337" i="1"/>
  <c r="J24" i="1"/>
  <c r="J336" i="1"/>
  <c r="J332" i="1"/>
  <c r="J259" i="1"/>
  <c r="J333" i="1"/>
  <c r="J334" i="1"/>
  <c r="J25" i="1"/>
  <c r="J255" i="1"/>
  <c r="J335" i="1"/>
  <c r="J337" i="1"/>
  <c r="I24" i="1"/>
  <c r="I336" i="1"/>
  <c r="I332" i="1"/>
  <c r="I259" i="1"/>
  <c r="I333" i="1"/>
  <c r="I334" i="1"/>
  <c r="I25" i="1"/>
  <c r="I255" i="1"/>
  <c r="I335" i="1"/>
  <c r="I337" i="1"/>
  <c r="H24" i="1"/>
  <c r="H336" i="1"/>
  <c r="H332" i="1"/>
  <c r="H259" i="1"/>
  <c r="H333" i="1"/>
  <c r="H334" i="1"/>
  <c r="H25" i="1"/>
  <c r="H255" i="1"/>
  <c r="H335" i="1"/>
  <c r="H337" i="1"/>
  <c r="G24" i="1"/>
  <c r="G336" i="1"/>
  <c r="G332" i="1"/>
  <c r="G259" i="1"/>
  <c r="G333" i="1"/>
  <c r="G334" i="1"/>
  <c r="G25" i="1"/>
  <c r="G255" i="1"/>
  <c r="G335" i="1"/>
  <c r="G337" i="1"/>
  <c r="AF77" i="1"/>
  <c r="AE77" i="1"/>
  <c r="AD77" i="1"/>
  <c r="AC77" i="1"/>
  <c r="AB77" i="1"/>
  <c r="AA77" i="1"/>
  <c r="Z10" i="1"/>
  <c r="Z77" i="1"/>
  <c r="Y10" i="1"/>
  <c r="Y77" i="1"/>
  <c r="X10" i="1"/>
  <c r="X77" i="1"/>
  <c r="W10" i="1"/>
  <c r="W77" i="1"/>
  <c r="V10" i="1"/>
  <c r="V77" i="1"/>
  <c r="U10" i="1"/>
  <c r="U77" i="1"/>
  <c r="T10" i="1"/>
  <c r="T77" i="1"/>
  <c r="S10" i="1"/>
  <c r="S77" i="1"/>
  <c r="R10" i="1"/>
  <c r="R77" i="1"/>
  <c r="Q77" i="1"/>
  <c r="P77" i="1"/>
  <c r="O77" i="1"/>
  <c r="N77" i="1"/>
  <c r="M77" i="1"/>
  <c r="L77" i="1"/>
  <c r="K77" i="1"/>
  <c r="J77" i="1"/>
  <c r="I77" i="1"/>
  <c r="H77" i="1"/>
  <c r="G77" i="1"/>
  <c r="F77" i="1"/>
  <c r="E77" i="1"/>
  <c r="D77" i="1"/>
  <c r="AF124" i="1"/>
  <c r="AF121" i="1"/>
  <c r="AF103" i="1"/>
  <c r="AF404" i="1"/>
  <c r="AF405" i="1"/>
  <c r="AF131" i="1"/>
  <c r="AF132" i="1"/>
  <c r="AF313" i="1"/>
  <c r="AF314" i="1"/>
  <c r="AF315" i="1"/>
  <c r="AF316" i="1"/>
  <c r="AF317" i="1"/>
  <c r="AF318" i="1"/>
  <c r="AF319" i="1"/>
  <c r="AF320" i="1"/>
  <c r="AF321" i="1"/>
  <c r="AF322" i="1"/>
  <c r="AF323" i="1"/>
  <c r="AF324" i="1"/>
  <c r="AF325" i="1"/>
  <c r="AF326" i="1"/>
  <c r="AF327" i="1"/>
  <c r="AF328" i="1"/>
  <c r="AF329" i="1"/>
  <c r="AF330" i="1"/>
  <c r="AF125" i="1"/>
  <c r="AF126" i="1"/>
  <c r="AF102" i="1"/>
  <c r="AF294" i="1"/>
  <c r="AF295" i="1"/>
  <c r="AF296" i="1"/>
  <c r="AF297" i="1"/>
  <c r="AF298" i="1"/>
  <c r="AF299" i="1"/>
  <c r="AF300" i="1"/>
  <c r="AF301" i="1"/>
  <c r="AF302" i="1"/>
  <c r="AF303" i="1"/>
  <c r="AF304" i="1"/>
  <c r="AF305" i="1"/>
  <c r="AF306" i="1"/>
  <c r="AF275" i="1"/>
  <c r="AF307" i="1"/>
  <c r="AF308" i="1"/>
  <c r="AF309" i="1"/>
  <c r="AF310" i="1"/>
  <c r="AF311" i="1"/>
  <c r="AF122" i="1"/>
  <c r="AF430" i="1"/>
  <c r="AF431" i="1"/>
  <c r="AF420" i="1"/>
  <c r="AF421" i="1"/>
  <c r="AF422" i="1"/>
  <c r="AF423" i="1"/>
  <c r="AF424" i="1"/>
  <c r="AF425" i="1"/>
  <c r="AF426" i="1"/>
  <c r="AF427" i="1"/>
  <c r="AF428" i="1"/>
  <c r="AF429" i="1"/>
  <c r="AF104" i="1"/>
  <c r="AF123" i="1"/>
  <c r="AF105" i="1"/>
  <c r="AS37" i="26"/>
  <c r="AE124" i="1"/>
  <c r="AE121" i="1"/>
  <c r="AE103" i="1"/>
  <c r="AE404" i="1"/>
  <c r="AE405" i="1"/>
  <c r="AE131" i="1"/>
  <c r="AE132" i="1"/>
  <c r="AE313" i="1"/>
  <c r="AE314" i="1"/>
  <c r="AE315" i="1"/>
  <c r="AE316" i="1"/>
  <c r="AE317" i="1"/>
  <c r="AE318" i="1"/>
  <c r="AE319" i="1"/>
  <c r="AE320" i="1"/>
  <c r="AE321" i="1"/>
  <c r="AE322" i="1"/>
  <c r="AE323" i="1"/>
  <c r="AE324" i="1"/>
  <c r="AE325" i="1"/>
  <c r="AE326" i="1"/>
  <c r="AE327" i="1"/>
  <c r="AE328" i="1"/>
  <c r="AE329" i="1"/>
  <c r="AE330" i="1"/>
  <c r="AE125" i="1"/>
  <c r="AE126" i="1"/>
  <c r="AE102" i="1"/>
  <c r="AE294" i="1"/>
  <c r="AE295" i="1"/>
  <c r="AE296" i="1"/>
  <c r="AE297" i="1"/>
  <c r="AE298" i="1"/>
  <c r="AE299" i="1"/>
  <c r="AE300" i="1"/>
  <c r="AE301" i="1"/>
  <c r="AE302" i="1"/>
  <c r="AE303" i="1"/>
  <c r="AE304" i="1"/>
  <c r="AE305" i="1"/>
  <c r="AE306" i="1"/>
  <c r="AE275" i="1"/>
  <c r="AE307" i="1"/>
  <c r="AE308" i="1"/>
  <c r="AE309" i="1"/>
  <c r="AE310" i="1"/>
  <c r="AE311" i="1"/>
  <c r="AE122" i="1"/>
  <c r="AE430" i="1"/>
  <c r="AE431" i="1"/>
  <c r="AE420" i="1"/>
  <c r="AE421" i="1"/>
  <c r="AE422" i="1"/>
  <c r="AE423" i="1"/>
  <c r="AE424" i="1"/>
  <c r="AE425" i="1"/>
  <c r="AE426" i="1"/>
  <c r="AE427" i="1"/>
  <c r="AE428" i="1"/>
  <c r="AE429" i="1"/>
  <c r="AE104" i="1"/>
  <c r="AE123" i="1"/>
  <c r="AE105" i="1"/>
  <c r="AS36" i="26"/>
  <c r="AD124" i="1"/>
  <c r="AD121" i="1"/>
  <c r="AD103" i="1"/>
  <c r="AD404" i="1"/>
  <c r="AD405" i="1"/>
  <c r="AD131" i="1"/>
  <c r="AD132" i="1"/>
  <c r="AD313" i="1"/>
  <c r="AD314" i="1"/>
  <c r="AD315" i="1"/>
  <c r="AD316" i="1"/>
  <c r="AD317" i="1"/>
  <c r="AD318" i="1"/>
  <c r="AD319" i="1"/>
  <c r="AD320" i="1"/>
  <c r="AD321" i="1"/>
  <c r="AD322" i="1"/>
  <c r="AD323" i="1"/>
  <c r="AD324" i="1"/>
  <c r="AD325" i="1"/>
  <c r="AD326" i="1"/>
  <c r="AD327" i="1"/>
  <c r="AD328" i="1"/>
  <c r="AD329" i="1"/>
  <c r="AD330" i="1"/>
  <c r="AD125" i="1"/>
  <c r="AD126" i="1"/>
  <c r="AD102" i="1"/>
  <c r="AD294" i="1"/>
  <c r="AD295" i="1"/>
  <c r="AD296" i="1"/>
  <c r="AD297" i="1"/>
  <c r="AD298" i="1"/>
  <c r="AD299" i="1"/>
  <c r="AD300" i="1"/>
  <c r="AD301" i="1"/>
  <c r="AD302" i="1"/>
  <c r="AD303" i="1"/>
  <c r="AD304" i="1"/>
  <c r="AD305" i="1"/>
  <c r="AD306" i="1"/>
  <c r="AD275" i="1"/>
  <c r="AD307" i="1"/>
  <c r="AD308" i="1"/>
  <c r="AD309" i="1"/>
  <c r="AD310" i="1"/>
  <c r="AD311" i="1"/>
  <c r="AD122" i="1"/>
  <c r="AD430" i="1"/>
  <c r="AD431" i="1"/>
  <c r="AD420" i="1"/>
  <c r="AD421" i="1"/>
  <c r="AD422" i="1"/>
  <c r="AD423" i="1"/>
  <c r="AD424" i="1"/>
  <c r="AD425" i="1"/>
  <c r="AD426" i="1"/>
  <c r="AD427" i="1"/>
  <c r="AD428" i="1"/>
  <c r="AD429" i="1"/>
  <c r="AD104" i="1"/>
  <c r="AD123" i="1"/>
  <c r="AD105" i="1"/>
  <c r="AS35" i="26"/>
  <c r="AC124" i="1"/>
  <c r="AC121" i="1"/>
  <c r="AC103" i="1"/>
  <c r="AC404" i="1"/>
  <c r="AC405" i="1"/>
  <c r="AC131" i="1"/>
  <c r="AC132" i="1"/>
  <c r="AC313" i="1"/>
  <c r="AC314" i="1"/>
  <c r="AC315" i="1"/>
  <c r="AC316" i="1"/>
  <c r="AC317" i="1"/>
  <c r="AC318" i="1"/>
  <c r="AC319" i="1"/>
  <c r="AC320" i="1"/>
  <c r="AC321" i="1"/>
  <c r="AC322" i="1"/>
  <c r="AC323" i="1"/>
  <c r="AC324" i="1"/>
  <c r="AC325" i="1"/>
  <c r="AC326" i="1"/>
  <c r="AC327" i="1"/>
  <c r="AC328" i="1"/>
  <c r="AC329" i="1"/>
  <c r="AC330" i="1"/>
  <c r="AC125" i="1"/>
  <c r="AC126" i="1"/>
  <c r="AC102" i="1"/>
  <c r="AC294" i="1"/>
  <c r="AC295" i="1"/>
  <c r="AC296" i="1"/>
  <c r="AC297" i="1"/>
  <c r="AC298" i="1"/>
  <c r="AC299" i="1"/>
  <c r="AC300" i="1"/>
  <c r="AC301" i="1"/>
  <c r="AC302" i="1"/>
  <c r="AC303" i="1"/>
  <c r="AC304" i="1"/>
  <c r="AC305" i="1"/>
  <c r="AC306" i="1"/>
  <c r="AC275" i="1"/>
  <c r="AC307" i="1"/>
  <c r="AC308" i="1"/>
  <c r="AC309" i="1"/>
  <c r="AC310" i="1"/>
  <c r="AC311" i="1"/>
  <c r="AC122" i="1"/>
  <c r="AC430" i="1"/>
  <c r="AC431" i="1"/>
  <c r="AC420" i="1"/>
  <c r="AC421" i="1"/>
  <c r="AC422" i="1"/>
  <c r="AC423" i="1"/>
  <c r="AC424" i="1"/>
  <c r="AC425" i="1"/>
  <c r="AC426" i="1"/>
  <c r="AC427" i="1"/>
  <c r="AC428" i="1"/>
  <c r="AC429" i="1"/>
  <c r="AC104" i="1"/>
  <c r="AC123" i="1"/>
  <c r="AC105" i="1"/>
  <c r="AS34" i="26"/>
  <c r="AB124" i="1"/>
  <c r="AB121" i="1"/>
  <c r="AB103" i="1"/>
  <c r="AB404" i="1"/>
  <c r="AB405" i="1"/>
  <c r="AB131" i="1"/>
  <c r="AB132" i="1"/>
  <c r="AB313" i="1"/>
  <c r="AB314" i="1"/>
  <c r="AB315" i="1"/>
  <c r="AB316" i="1"/>
  <c r="AB317" i="1"/>
  <c r="AB318" i="1"/>
  <c r="AB319" i="1"/>
  <c r="AB320" i="1"/>
  <c r="AB321" i="1"/>
  <c r="AB322" i="1"/>
  <c r="AB323" i="1"/>
  <c r="AB324" i="1"/>
  <c r="AB325" i="1"/>
  <c r="AB326" i="1"/>
  <c r="AB327" i="1"/>
  <c r="AB328" i="1"/>
  <c r="AB329" i="1"/>
  <c r="AB330" i="1"/>
  <c r="AB125" i="1"/>
  <c r="AB126" i="1"/>
  <c r="AB102" i="1"/>
  <c r="AB294" i="1"/>
  <c r="AB295" i="1"/>
  <c r="AB296" i="1"/>
  <c r="AB297" i="1"/>
  <c r="AB298" i="1"/>
  <c r="AB299" i="1"/>
  <c r="AB300" i="1"/>
  <c r="AB301" i="1"/>
  <c r="AB302" i="1"/>
  <c r="AB303" i="1"/>
  <c r="AB304" i="1"/>
  <c r="AB305" i="1"/>
  <c r="AB306" i="1"/>
  <c r="AB275" i="1"/>
  <c r="AB307" i="1"/>
  <c r="AB308" i="1"/>
  <c r="AB309" i="1"/>
  <c r="AB310" i="1"/>
  <c r="AB311" i="1"/>
  <c r="AB122" i="1"/>
  <c r="AB430" i="1"/>
  <c r="AB431" i="1"/>
  <c r="AB420" i="1"/>
  <c r="AB421" i="1"/>
  <c r="AB422" i="1"/>
  <c r="AB423" i="1"/>
  <c r="AB424" i="1"/>
  <c r="AB425" i="1"/>
  <c r="AB426" i="1"/>
  <c r="AB427" i="1"/>
  <c r="AB428" i="1"/>
  <c r="AB429" i="1"/>
  <c r="AB104" i="1"/>
  <c r="AB123" i="1"/>
  <c r="AB105" i="1"/>
  <c r="AS33" i="26"/>
  <c r="AA124" i="1"/>
  <c r="AA121" i="1"/>
  <c r="AA103" i="1"/>
  <c r="AA404" i="1"/>
  <c r="AA405" i="1"/>
  <c r="AA131" i="1"/>
  <c r="AA132" i="1"/>
  <c r="AA313" i="1"/>
  <c r="AA314" i="1"/>
  <c r="AA315" i="1"/>
  <c r="AA316" i="1"/>
  <c r="AA317" i="1"/>
  <c r="AA318" i="1"/>
  <c r="AA319" i="1"/>
  <c r="AA320" i="1"/>
  <c r="AA321" i="1"/>
  <c r="AA322" i="1"/>
  <c r="AA323" i="1"/>
  <c r="AA324" i="1"/>
  <c r="AA325" i="1"/>
  <c r="AA326" i="1"/>
  <c r="AA327" i="1"/>
  <c r="AA328" i="1"/>
  <c r="AA329" i="1"/>
  <c r="AA330" i="1"/>
  <c r="AA125" i="1"/>
  <c r="AA126" i="1"/>
  <c r="AA102" i="1"/>
  <c r="AA294" i="1"/>
  <c r="AA295" i="1"/>
  <c r="AA296" i="1"/>
  <c r="AA297" i="1"/>
  <c r="AA298" i="1"/>
  <c r="AA299" i="1"/>
  <c r="AA300" i="1"/>
  <c r="AA301" i="1"/>
  <c r="AA302" i="1"/>
  <c r="AA303" i="1"/>
  <c r="AA304" i="1"/>
  <c r="AA305" i="1"/>
  <c r="AA306" i="1"/>
  <c r="AA275" i="1"/>
  <c r="AA307" i="1"/>
  <c r="AA308" i="1"/>
  <c r="AA309" i="1"/>
  <c r="AA310" i="1"/>
  <c r="AA311" i="1"/>
  <c r="AA122" i="1"/>
  <c r="AA430" i="1"/>
  <c r="AA431" i="1"/>
  <c r="AA420" i="1"/>
  <c r="AA421" i="1"/>
  <c r="AA422" i="1"/>
  <c r="AA423" i="1"/>
  <c r="AA424" i="1"/>
  <c r="AA425" i="1"/>
  <c r="AA426" i="1"/>
  <c r="AA427" i="1"/>
  <c r="AA428" i="1"/>
  <c r="AA429" i="1"/>
  <c r="AA104" i="1"/>
  <c r="AA123" i="1"/>
  <c r="AA105" i="1"/>
  <c r="AS32" i="26"/>
  <c r="Z124" i="1"/>
  <c r="Z121" i="1"/>
  <c r="Z103" i="1"/>
  <c r="Z404" i="1"/>
  <c r="Z405" i="1"/>
  <c r="Z131" i="1"/>
  <c r="Z132" i="1"/>
  <c r="Z313" i="1"/>
  <c r="Z314" i="1"/>
  <c r="Z315" i="1"/>
  <c r="Z316" i="1"/>
  <c r="Z317" i="1"/>
  <c r="Z318" i="1"/>
  <c r="Z319" i="1"/>
  <c r="Z320" i="1"/>
  <c r="Z321" i="1"/>
  <c r="Z322" i="1"/>
  <c r="Z323" i="1"/>
  <c r="Z324" i="1"/>
  <c r="Z325" i="1"/>
  <c r="Z326" i="1"/>
  <c r="Z327" i="1"/>
  <c r="Z328" i="1"/>
  <c r="Z329" i="1"/>
  <c r="Z330" i="1"/>
  <c r="Z125" i="1"/>
  <c r="Z126" i="1"/>
  <c r="Z102" i="1"/>
  <c r="Z294" i="1"/>
  <c r="Z295" i="1"/>
  <c r="Z296" i="1"/>
  <c r="Z297" i="1"/>
  <c r="Z298" i="1"/>
  <c r="Z299" i="1"/>
  <c r="Z300" i="1"/>
  <c r="Z301" i="1"/>
  <c r="Z302" i="1"/>
  <c r="Z303" i="1"/>
  <c r="Z304" i="1"/>
  <c r="Z305" i="1"/>
  <c r="Z306" i="1"/>
  <c r="Z275" i="1"/>
  <c r="Z307" i="1"/>
  <c r="Z308" i="1"/>
  <c r="Z309" i="1"/>
  <c r="Z310" i="1"/>
  <c r="Z311" i="1"/>
  <c r="Z122" i="1"/>
  <c r="Z430" i="1"/>
  <c r="Z431" i="1"/>
  <c r="Z420" i="1"/>
  <c r="Z421" i="1"/>
  <c r="Z422" i="1"/>
  <c r="Z423" i="1"/>
  <c r="Z424" i="1"/>
  <c r="Z425" i="1"/>
  <c r="Z426" i="1"/>
  <c r="Z427" i="1"/>
  <c r="Z428" i="1"/>
  <c r="Z429" i="1"/>
  <c r="Z104" i="1"/>
  <c r="Z123" i="1"/>
  <c r="Z105" i="1"/>
  <c r="AS31" i="26"/>
  <c r="Y124" i="1"/>
  <c r="Y121" i="1"/>
  <c r="Y103" i="1"/>
  <c r="Y404" i="1"/>
  <c r="Y405" i="1"/>
  <c r="Y131" i="1"/>
  <c r="Y132" i="1"/>
  <c r="Y313" i="1"/>
  <c r="Y314" i="1"/>
  <c r="Y315" i="1"/>
  <c r="Y316" i="1"/>
  <c r="Y317" i="1"/>
  <c r="Y318" i="1"/>
  <c r="Y319" i="1"/>
  <c r="Y320" i="1"/>
  <c r="Y321" i="1"/>
  <c r="Y322" i="1"/>
  <c r="Y323" i="1"/>
  <c r="Y324" i="1"/>
  <c r="Y325" i="1"/>
  <c r="Y326" i="1"/>
  <c r="Y327" i="1"/>
  <c r="Y328" i="1"/>
  <c r="Y329" i="1"/>
  <c r="Y330" i="1"/>
  <c r="Y125" i="1"/>
  <c r="Y126" i="1"/>
  <c r="Y102" i="1"/>
  <c r="Y294" i="1"/>
  <c r="Y295" i="1"/>
  <c r="Y296" i="1"/>
  <c r="Y297" i="1"/>
  <c r="Y298" i="1"/>
  <c r="Y299" i="1"/>
  <c r="Y300" i="1"/>
  <c r="Y301" i="1"/>
  <c r="Y302" i="1"/>
  <c r="Y303" i="1"/>
  <c r="Y304" i="1"/>
  <c r="Y305" i="1"/>
  <c r="Y306" i="1"/>
  <c r="Y275" i="1"/>
  <c r="Y307" i="1"/>
  <c r="Y308" i="1"/>
  <c r="Y309" i="1"/>
  <c r="Y310" i="1"/>
  <c r="Y311" i="1"/>
  <c r="Y122" i="1"/>
  <c r="Y430" i="1"/>
  <c r="Y431" i="1"/>
  <c r="Y420" i="1"/>
  <c r="Y421" i="1"/>
  <c r="Y422" i="1"/>
  <c r="Y423" i="1"/>
  <c r="Y424" i="1"/>
  <c r="Y425" i="1"/>
  <c r="Y426" i="1"/>
  <c r="Y427" i="1"/>
  <c r="Y428" i="1"/>
  <c r="Y429" i="1"/>
  <c r="Y104" i="1"/>
  <c r="Y123" i="1"/>
  <c r="Y105" i="1"/>
  <c r="AS30" i="26"/>
  <c r="X124" i="1"/>
  <c r="X121" i="1"/>
  <c r="X103" i="1"/>
  <c r="X404" i="1"/>
  <c r="X405" i="1"/>
  <c r="X131" i="1"/>
  <c r="X132" i="1"/>
  <c r="X313" i="1"/>
  <c r="X314" i="1"/>
  <c r="X315" i="1"/>
  <c r="X316" i="1"/>
  <c r="X317" i="1"/>
  <c r="X318" i="1"/>
  <c r="X319" i="1"/>
  <c r="X320" i="1"/>
  <c r="X321" i="1"/>
  <c r="X322" i="1"/>
  <c r="X323" i="1"/>
  <c r="X324" i="1"/>
  <c r="X325" i="1"/>
  <c r="X326" i="1"/>
  <c r="X327" i="1"/>
  <c r="X328" i="1"/>
  <c r="X329" i="1"/>
  <c r="X330" i="1"/>
  <c r="X125" i="1"/>
  <c r="X126" i="1"/>
  <c r="X102" i="1"/>
  <c r="X294" i="1"/>
  <c r="X295" i="1"/>
  <c r="X296" i="1"/>
  <c r="X297" i="1"/>
  <c r="X298" i="1"/>
  <c r="X299" i="1"/>
  <c r="X300" i="1"/>
  <c r="X301" i="1"/>
  <c r="X302" i="1"/>
  <c r="X303" i="1"/>
  <c r="X304" i="1"/>
  <c r="X305" i="1"/>
  <c r="X306" i="1"/>
  <c r="X275" i="1"/>
  <c r="X307" i="1"/>
  <c r="X308" i="1"/>
  <c r="X309" i="1"/>
  <c r="X310" i="1"/>
  <c r="X311" i="1"/>
  <c r="X122" i="1"/>
  <c r="X430" i="1"/>
  <c r="X431" i="1"/>
  <c r="X420" i="1"/>
  <c r="X421" i="1"/>
  <c r="X422" i="1"/>
  <c r="X423" i="1"/>
  <c r="X424" i="1"/>
  <c r="X425" i="1"/>
  <c r="X426" i="1"/>
  <c r="X427" i="1"/>
  <c r="X428" i="1"/>
  <c r="X429" i="1"/>
  <c r="X104" i="1"/>
  <c r="X123" i="1"/>
  <c r="X105" i="1"/>
  <c r="AS29" i="26"/>
  <c r="W124" i="1"/>
  <c r="W121" i="1"/>
  <c r="W103" i="1"/>
  <c r="W404" i="1"/>
  <c r="W405" i="1"/>
  <c r="W131" i="1"/>
  <c r="W132" i="1"/>
  <c r="W313" i="1"/>
  <c r="W314" i="1"/>
  <c r="W315" i="1"/>
  <c r="W316" i="1"/>
  <c r="W317" i="1"/>
  <c r="W318" i="1"/>
  <c r="W319" i="1"/>
  <c r="W320" i="1"/>
  <c r="W321" i="1"/>
  <c r="W322" i="1"/>
  <c r="W323" i="1"/>
  <c r="W324" i="1"/>
  <c r="W325" i="1"/>
  <c r="W326" i="1"/>
  <c r="W327" i="1"/>
  <c r="W328" i="1"/>
  <c r="W329" i="1"/>
  <c r="W330" i="1"/>
  <c r="W125" i="1"/>
  <c r="W126" i="1"/>
  <c r="W102" i="1"/>
  <c r="W294" i="1"/>
  <c r="W295" i="1"/>
  <c r="W296" i="1"/>
  <c r="W297" i="1"/>
  <c r="W298" i="1"/>
  <c r="W299" i="1"/>
  <c r="W300" i="1"/>
  <c r="W301" i="1"/>
  <c r="W302" i="1"/>
  <c r="W303" i="1"/>
  <c r="W304" i="1"/>
  <c r="W305" i="1"/>
  <c r="W306" i="1"/>
  <c r="W275" i="1"/>
  <c r="W307" i="1"/>
  <c r="W308" i="1"/>
  <c r="W309" i="1"/>
  <c r="W310" i="1"/>
  <c r="W311" i="1"/>
  <c r="W122" i="1"/>
  <c r="W430" i="1"/>
  <c r="W431" i="1"/>
  <c r="W420" i="1"/>
  <c r="W421" i="1"/>
  <c r="W422" i="1"/>
  <c r="W423" i="1"/>
  <c r="W424" i="1"/>
  <c r="W425" i="1"/>
  <c r="W426" i="1"/>
  <c r="W427" i="1"/>
  <c r="W428" i="1"/>
  <c r="W429" i="1"/>
  <c r="W104" i="1"/>
  <c r="W123" i="1"/>
  <c r="W105" i="1"/>
  <c r="AS28" i="26"/>
  <c r="AR37" i="26"/>
  <c r="AR36" i="26"/>
  <c r="AR35" i="26"/>
  <c r="AR34" i="26"/>
  <c r="AR33" i="26"/>
  <c r="AR32" i="26"/>
  <c r="AR31" i="26"/>
  <c r="AR30" i="26"/>
  <c r="AR29" i="26"/>
  <c r="AR28" i="26"/>
  <c r="AQ37" i="26"/>
  <c r="AQ36" i="26"/>
  <c r="AQ35" i="26"/>
  <c r="AQ34" i="26"/>
  <c r="AQ33" i="26"/>
  <c r="AQ32" i="26"/>
  <c r="AQ31" i="26"/>
  <c r="AQ30" i="26"/>
  <c r="AQ29" i="26"/>
  <c r="AQ28" i="26"/>
  <c r="AP37" i="26"/>
  <c r="AP36" i="26"/>
  <c r="AP35" i="26"/>
  <c r="AP34" i="26"/>
  <c r="AP33" i="26"/>
  <c r="AP32" i="26"/>
  <c r="AP31" i="26"/>
  <c r="AP30" i="26"/>
  <c r="AP29" i="26"/>
  <c r="AP28" i="26"/>
  <c r="AF101" i="1"/>
  <c r="AO37" i="26"/>
  <c r="AE101" i="1"/>
  <c r="AO36" i="26"/>
  <c r="AD101" i="1"/>
  <c r="AO35" i="26"/>
  <c r="AC101" i="1"/>
  <c r="AO34" i="26"/>
  <c r="AB101" i="1"/>
  <c r="AO33" i="26"/>
  <c r="AA101" i="1"/>
  <c r="AO32" i="26"/>
  <c r="Z101" i="1"/>
  <c r="AO31" i="26"/>
  <c r="Y101" i="1"/>
  <c r="AO30" i="26"/>
  <c r="X101" i="1"/>
  <c r="AO29" i="26"/>
  <c r="W101" i="1"/>
  <c r="AO28" i="26"/>
  <c r="AF118" i="1"/>
  <c r="AF97" i="1"/>
  <c r="AF95" i="1"/>
  <c r="AF96" i="1"/>
  <c r="AF285" i="1"/>
  <c r="AF286" i="1"/>
  <c r="AF287" i="1"/>
  <c r="AF288" i="1"/>
  <c r="AF289" i="1"/>
  <c r="AF290" i="1"/>
  <c r="AF291" i="1"/>
  <c r="AF292" i="1"/>
  <c r="AF119" i="1"/>
  <c r="AF417" i="1"/>
  <c r="AF418" i="1"/>
  <c r="AF407" i="1"/>
  <c r="AF408" i="1"/>
  <c r="AF409" i="1"/>
  <c r="AF410" i="1"/>
  <c r="AF411" i="1"/>
  <c r="AF412" i="1"/>
  <c r="AF413" i="1"/>
  <c r="AF414" i="1"/>
  <c r="AF415" i="1"/>
  <c r="AF416" i="1"/>
  <c r="AF98" i="1"/>
  <c r="AF120" i="1"/>
  <c r="AF108" i="1"/>
  <c r="AF99" i="1"/>
  <c r="AM37" i="26"/>
  <c r="AE118" i="1"/>
  <c r="AE97" i="1"/>
  <c r="AE95" i="1"/>
  <c r="AE96" i="1"/>
  <c r="AE285" i="1"/>
  <c r="AE286" i="1"/>
  <c r="AE287" i="1"/>
  <c r="AE288" i="1"/>
  <c r="AE289" i="1"/>
  <c r="AE290" i="1"/>
  <c r="AE291" i="1"/>
  <c r="AE292" i="1"/>
  <c r="AE119" i="1"/>
  <c r="AE417" i="1"/>
  <c r="AE418" i="1"/>
  <c r="AE407" i="1"/>
  <c r="AE408" i="1"/>
  <c r="AE409" i="1"/>
  <c r="AE410" i="1"/>
  <c r="AE411" i="1"/>
  <c r="AE412" i="1"/>
  <c r="AE413" i="1"/>
  <c r="AE414" i="1"/>
  <c r="AE415" i="1"/>
  <c r="AE416" i="1"/>
  <c r="AE98" i="1"/>
  <c r="AE120" i="1"/>
  <c r="AE108" i="1"/>
  <c r="AE99" i="1"/>
  <c r="AM36" i="26"/>
  <c r="AD118" i="1"/>
  <c r="AD97" i="1"/>
  <c r="AD95" i="1"/>
  <c r="AD96" i="1"/>
  <c r="AD285" i="1"/>
  <c r="AD286" i="1"/>
  <c r="AD287" i="1"/>
  <c r="AD288" i="1"/>
  <c r="AD289" i="1"/>
  <c r="AD290" i="1"/>
  <c r="AD291" i="1"/>
  <c r="AD292" i="1"/>
  <c r="AD119" i="1"/>
  <c r="AD417" i="1"/>
  <c r="AD418" i="1"/>
  <c r="AD407" i="1"/>
  <c r="AD408" i="1"/>
  <c r="AD409" i="1"/>
  <c r="AD410" i="1"/>
  <c r="AD411" i="1"/>
  <c r="AD412" i="1"/>
  <c r="AD413" i="1"/>
  <c r="AD414" i="1"/>
  <c r="AD415" i="1"/>
  <c r="AD416" i="1"/>
  <c r="AD98" i="1"/>
  <c r="AD120" i="1"/>
  <c r="AD108" i="1"/>
  <c r="AD99" i="1"/>
  <c r="AM35" i="26"/>
  <c r="AC118" i="1"/>
  <c r="AC97" i="1"/>
  <c r="AC95" i="1"/>
  <c r="AC96" i="1"/>
  <c r="AC285" i="1"/>
  <c r="AC286" i="1"/>
  <c r="AC287" i="1"/>
  <c r="AC288" i="1"/>
  <c r="AC289" i="1"/>
  <c r="AC290" i="1"/>
  <c r="AC291" i="1"/>
  <c r="AC292" i="1"/>
  <c r="AC119" i="1"/>
  <c r="AC417" i="1"/>
  <c r="AC418" i="1"/>
  <c r="AC407" i="1"/>
  <c r="AC408" i="1"/>
  <c r="AC409" i="1"/>
  <c r="AC410" i="1"/>
  <c r="AC411" i="1"/>
  <c r="AC412" i="1"/>
  <c r="AC413" i="1"/>
  <c r="AC414" i="1"/>
  <c r="AC415" i="1"/>
  <c r="AC416" i="1"/>
  <c r="AC98" i="1"/>
  <c r="AC120" i="1"/>
  <c r="AC108" i="1"/>
  <c r="AC99" i="1"/>
  <c r="AM34" i="26"/>
  <c r="AB118" i="1"/>
  <c r="AB97" i="1"/>
  <c r="AB95" i="1"/>
  <c r="AB96" i="1"/>
  <c r="AB285" i="1"/>
  <c r="AB286" i="1"/>
  <c r="AB287" i="1"/>
  <c r="AB288" i="1"/>
  <c r="AB289" i="1"/>
  <c r="AB290" i="1"/>
  <c r="AB291" i="1"/>
  <c r="AB292" i="1"/>
  <c r="AB119" i="1"/>
  <c r="AB417" i="1"/>
  <c r="AB418" i="1"/>
  <c r="AB407" i="1"/>
  <c r="AB408" i="1"/>
  <c r="AB409" i="1"/>
  <c r="AB410" i="1"/>
  <c r="AB411" i="1"/>
  <c r="AB412" i="1"/>
  <c r="AB413" i="1"/>
  <c r="AB414" i="1"/>
  <c r="AB415" i="1"/>
  <c r="AB416" i="1"/>
  <c r="AB98" i="1"/>
  <c r="AB120" i="1"/>
  <c r="AB108" i="1"/>
  <c r="AB99" i="1"/>
  <c r="AM33" i="26"/>
  <c r="AA118" i="1"/>
  <c r="AA97" i="1"/>
  <c r="AA95" i="1"/>
  <c r="AA96" i="1"/>
  <c r="AA285" i="1"/>
  <c r="AA286" i="1"/>
  <c r="AA287" i="1"/>
  <c r="AA288" i="1"/>
  <c r="AA289" i="1"/>
  <c r="AA290" i="1"/>
  <c r="AA291" i="1"/>
  <c r="AA292" i="1"/>
  <c r="AA119" i="1"/>
  <c r="AA417" i="1"/>
  <c r="AA418" i="1"/>
  <c r="AA407" i="1"/>
  <c r="AA408" i="1"/>
  <c r="AA409" i="1"/>
  <c r="AA410" i="1"/>
  <c r="AA411" i="1"/>
  <c r="AA412" i="1"/>
  <c r="AA413" i="1"/>
  <c r="AA414" i="1"/>
  <c r="AA415" i="1"/>
  <c r="AA416" i="1"/>
  <c r="AA98" i="1"/>
  <c r="AA120" i="1"/>
  <c r="AA108" i="1"/>
  <c r="AA99" i="1"/>
  <c r="AM32" i="26"/>
  <c r="Z118" i="1"/>
  <c r="Z97" i="1"/>
  <c r="Z95" i="1"/>
  <c r="Z96" i="1"/>
  <c r="Z285" i="1"/>
  <c r="Z286" i="1"/>
  <c r="Z287" i="1"/>
  <c r="Z288" i="1"/>
  <c r="Z289" i="1"/>
  <c r="Z290" i="1"/>
  <c r="Z291" i="1"/>
  <c r="Z292" i="1"/>
  <c r="Z119" i="1"/>
  <c r="Z417" i="1"/>
  <c r="Z418" i="1"/>
  <c r="Z407" i="1"/>
  <c r="Z408" i="1"/>
  <c r="Z409" i="1"/>
  <c r="Z410" i="1"/>
  <c r="Z411" i="1"/>
  <c r="Z412" i="1"/>
  <c r="Z413" i="1"/>
  <c r="Z414" i="1"/>
  <c r="Z415" i="1"/>
  <c r="Z416" i="1"/>
  <c r="Z98" i="1"/>
  <c r="Z120" i="1"/>
  <c r="Z108" i="1"/>
  <c r="Z99" i="1"/>
  <c r="AM31" i="26"/>
  <c r="Y118" i="1"/>
  <c r="Y97" i="1"/>
  <c r="Y95" i="1"/>
  <c r="Y96" i="1"/>
  <c r="Y285" i="1"/>
  <c r="Y286" i="1"/>
  <c r="Y287" i="1"/>
  <c r="Y288" i="1"/>
  <c r="Y289" i="1"/>
  <c r="Y290" i="1"/>
  <c r="Y291" i="1"/>
  <c r="Y292" i="1"/>
  <c r="Y119" i="1"/>
  <c r="Y417" i="1"/>
  <c r="Y418" i="1"/>
  <c r="Y407" i="1"/>
  <c r="Y408" i="1"/>
  <c r="Y409" i="1"/>
  <c r="Y410" i="1"/>
  <c r="Y411" i="1"/>
  <c r="Y412" i="1"/>
  <c r="Y413" i="1"/>
  <c r="Y414" i="1"/>
  <c r="Y415" i="1"/>
  <c r="Y416" i="1"/>
  <c r="Y98" i="1"/>
  <c r="Y120" i="1"/>
  <c r="Y108" i="1"/>
  <c r="Y99" i="1"/>
  <c r="AM30" i="26"/>
  <c r="X118" i="1"/>
  <c r="X97" i="1"/>
  <c r="X95" i="1"/>
  <c r="X96" i="1"/>
  <c r="X285" i="1"/>
  <c r="X286" i="1"/>
  <c r="X287" i="1"/>
  <c r="X288" i="1"/>
  <c r="X289" i="1"/>
  <c r="X290" i="1"/>
  <c r="X291" i="1"/>
  <c r="X292" i="1"/>
  <c r="X119" i="1"/>
  <c r="X417" i="1"/>
  <c r="X418" i="1"/>
  <c r="X407" i="1"/>
  <c r="X408" i="1"/>
  <c r="X409" i="1"/>
  <c r="X410" i="1"/>
  <c r="X411" i="1"/>
  <c r="X412" i="1"/>
  <c r="X413" i="1"/>
  <c r="X414" i="1"/>
  <c r="X415" i="1"/>
  <c r="X416" i="1"/>
  <c r="X98" i="1"/>
  <c r="X120" i="1"/>
  <c r="X108" i="1"/>
  <c r="X99" i="1"/>
  <c r="AM29" i="26"/>
  <c r="W118" i="1"/>
  <c r="W97" i="1"/>
  <c r="W95" i="1"/>
  <c r="W96" i="1"/>
  <c r="W285" i="1"/>
  <c r="W286" i="1"/>
  <c r="W287" i="1"/>
  <c r="W288" i="1"/>
  <c r="W289" i="1"/>
  <c r="W290" i="1"/>
  <c r="W291" i="1"/>
  <c r="W292" i="1"/>
  <c r="W119" i="1"/>
  <c r="W417" i="1"/>
  <c r="W418" i="1"/>
  <c r="W407" i="1"/>
  <c r="W408" i="1"/>
  <c r="W409" i="1"/>
  <c r="W410" i="1"/>
  <c r="W411" i="1"/>
  <c r="W412" i="1"/>
  <c r="W413" i="1"/>
  <c r="W414" i="1"/>
  <c r="W415" i="1"/>
  <c r="W416" i="1"/>
  <c r="W98" i="1"/>
  <c r="W120" i="1"/>
  <c r="W108" i="1"/>
  <c r="W99" i="1"/>
  <c r="AM28" i="26"/>
  <c r="AL37" i="26"/>
  <c r="AL36" i="26"/>
  <c r="AL35" i="26"/>
  <c r="AL34" i="26"/>
  <c r="AL33" i="26"/>
  <c r="AL32" i="26"/>
  <c r="AL31" i="26"/>
  <c r="AL30" i="26"/>
  <c r="AL29" i="26"/>
  <c r="AL28" i="26"/>
  <c r="AK37" i="26"/>
  <c r="AK36" i="26"/>
  <c r="AK35" i="26"/>
  <c r="AK34" i="26"/>
  <c r="AK33" i="26"/>
  <c r="AK32" i="26"/>
  <c r="AK31" i="26"/>
  <c r="AK30" i="26"/>
  <c r="AK29" i="26"/>
  <c r="AK28" i="26"/>
  <c r="AJ37" i="26"/>
  <c r="AJ36" i="26"/>
  <c r="AJ35" i="26"/>
  <c r="AJ34" i="26"/>
  <c r="AJ33" i="26"/>
  <c r="AJ32" i="26"/>
  <c r="AJ31" i="26"/>
  <c r="AJ30" i="26"/>
  <c r="AJ29" i="26"/>
  <c r="AJ28" i="26"/>
  <c r="AF725" i="1"/>
  <c r="AE725" i="1"/>
  <c r="AD725" i="1"/>
  <c r="AC725" i="1"/>
  <c r="AB725" i="1"/>
  <c r="AA725" i="1"/>
  <c r="Z725" i="1"/>
  <c r="Y725" i="1"/>
  <c r="X725" i="1"/>
  <c r="W725" i="1"/>
  <c r="V725" i="1"/>
  <c r="U725" i="1"/>
  <c r="T725" i="1"/>
  <c r="S725" i="1"/>
  <c r="R725" i="1"/>
  <c r="Q725" i="1"/>
  <c r="P725" i="1"/>
  <c r="O725" i="1"/>
  <c r="N725" i="1"/>
  <c r="M725" i="1"/>
  <c r="L725" i="1"/>
  <c r="K725" i="1"/>
  <c r="J725" i="1"/>
  <c r="I725" i="1"/>
  <c r="H725" i="1"/>
  <c r="G725" i="1"/>
  <c r="F725" i="1"/>
  <c r="E725" i="1"/>
  <c r="D725" i="1"/>
  <c r="AF724" i="1"/>
  <c r="AE724" i="1"/>
  <c r="AD724" i="1"/>
  <c r="AC724" i="1"/>
  <c r="AB724" i="1"/>
  <c r="AA724" i="1"/>
  <c r="Z724" i="1"/>
  <c r="Y724" i="1"/>
  <c r="X724" i="1"/>
  <c r="W724" i="1"/>
  <c r="V724" i="1"/>
  <c r="U724" i="1"/>
  <c r="T724" i="1"/>
  <c r="S724" i="1"/>
  <c r="R724" i="1"/>
  <c r="Q724" i="1"/>
  <c r="P724" i="1"/>
  <c r="O724" i="1"/>
  <c r="N724" i="1"/>
  <c r="M724" i="1"/>
  <c r="L724" i="1"/>
  <c r="K724" i="1"/>
  <c r="J724" i="1"/>
  <c r="I724" i="1"/>
  <c r="H724" i="1"/>
  <c r="G724" i="1"/>
  <c r="F724" i="1"/>
  <c r="E724" i="1"/>
  <c r="D724" i="1"/>
  <c r="AF720" i="1"/>
  <c r="AF721" i="1"/>
  <c r="AF723" i="1"/>
  <c r="AE720" i="1"/>
  <c r="AE721" i="1"/>
  <c r="AE723" i="1"/>
  <c r="AD720" i="1"/>
  <c r="AD721" i="1"/>
  <c r="AD723" i="1"/>
  <c r="AC720" i="1"/>
  <c r="AC721" i="1"/>
  <c r="AC723" i="1"/>
  <c r="AB720" i="1"/>
  <c r="AB721" i="1"/>
  <c r="AB723" i="1"/>
  <c r="AA720" i="1"/>
  <c r="AA721" i="1"/>
  <c r="AA723" i="1"/>
  <c r="Z720" i="1"/>
  <c r="Z721" i="1"/>
  <c r="Z723" i="1"/>
  <c r="Y720" i="1"/>
  <c r="Y721" i="1"/>
  <c r="Y723" i="1"/>
  <c r="X720" i="1"/>
  <c r="X721" i="1"/>
  <c r="X723" i="1"/>
  <c r="W720" i="1"/>
  <c r="W721" i="1"/>
  <c r="W723" i="1"/>
  <c r="V720" i="1"/>
  <c r="V721" i="1"/>
  <c r="V723" i="1"/>
  <c r="U720" i="1"/>
  <c r="U721" i="1"/>
  <c r="U723" i="1"/>
  <c r="T720" i="1"/>
  <c r="T721" i="1"/>
  <c r="T723" i="1"/>
  <c r="S720" i="1"/>
  <c r="S721" i="1"/>
  <c r="S723" i="1"/>
  <c r="R720" i="1"/>
  <c r="R721" i="1"/>
  <c r="R723" i="1"/>
  <c r="Q720" i="1"/>
  <c r="Q721" i="1"/>
  <c r="Q723" i="1"/>
  <c r="P720" i="1"/>
  <c r="P721" i="1"/>
  <c r="P723" i="1"/>
  <c r="O720" i="1"/>
  <c r="O721" i="1"/>
  <c r="O723" i="1"/>
  <c r="N720" i="1"/>
  <c r="N721" i="1"/>
  <c r="N723" i="1"/>
  <c r="M720" i="1"/>
  <c r="M721" i="1"/>
  <c r="M723" i="1"/>
  <c r="L720" i="1"/>
  <c r="L721" i="1"/>
  <c r="L723" i="1"/>
  <c r="K720" i="1"/>
  <c r="K721" i="1"/>
  <c r="K723" i="1"/>
  <c r="J720" i="1"/>
  <c r="J721" i="1"/>
  <c r="J723" i="1"/>
  <c r="I720" i="1"/>
  <c r="I721" i="1"/>
  <c r="I723" i="1"/>
  <c r="H720" i="1"/>
  <c r="H721" i="1"/>
  <c r="H723" i="1"/>
  <c r="G720" i="1"/>
  <c r="G721" i="1"/>
  <c r="G723" i="1"/>
  <c r="F720" i="1"/>
  <c r="F721" i="1"/>
  <c r="F723" i="1"/>
  <c r="E720" i="1"/>
  <c r="E721" i="1"/>
  <c r="E723" i="1"/>
  <c r="D720" i="1"/>
  <c r="D721" i="1"/>
  <c r="D723" i="1"/>
  <c r="AF241" i="1"/>
  <c r="AF69" i="1"/>
  <c r="AF36" i="1"/>
  <c r="AF686" i="1"/>
  <c r="AF687" i="1"/>
  <c r="AF722" i="1"/>
  <c r="AE241" i="1"/>
  <c r="AE69" i="1"/>
  <c r="AE36" i="1"/>
  <c r="AE686" i="1"/>
  <c r="AE687" i="1"/>
  <c r="AE722" i="1"/>
  <c r="AD241" i="1"/>
  <c r="AD69" i="1"/>
  <c r="AD36" i="1"/>
  <c r="AD686" i="1"/>
  <c r="AD687" i="1"/>
  <c r="AD722" i="1"/>
  <c r="AC241" i="1"/>
  <c r="AC69" i="1"/>
  <c r="AC36" i="1"/>
  <c r="AC686" i="1"/>
  <c r="AC687" i="1"/>
  <c r="AC722" i="1"/>
  <c r="AB241" i="1"/>
  <c r="AB69" i="1"/>
  <c r="AB36" i="1"/>
  <c r="AB686" i="1"/>
  <c r="AB687" i="1"/>
  <c r="AB722" i="1"/>
  <c r="AA241" i="1"/>
  <c r="AA69" i="1"/>
  <c r="AA36" i="1"/>
  <c r="AA686" i="1"/>
  <c r="AA687" i="1"/>
  <c r="AA722" i="1"/>
  <c r="Z241" i="1"/>
  <c r="Z69" i="1"/>
  <c r="Z36" i="1"/>
  <c r="Z686" i="1"/>
  <c r="Z687" i="1"/>
  <c r="Z722" i="1"/>
  <c r="Y241" i="1"/>
  <c r="Y69" i="1"/>
  <c r="Y36" i="1"/>
  <c r="Y686" i="1"/>
  <c r="Y687" i="1"/>
  <c r="Y722" i="1"/>
  <c r="X241" i="1"/>
  <c r="X69" i="1"/>
  <c r="X36" i="1"/>
  <c r="X686" i="1"/>
  <c r="X687" i="1"/>
  <c r="X722" i="1"/>
  <c r="W241" i="1"/>
  <c r="W69" i="1"/>
  <c r="W36" i="1"/>
  <c r="W686" i="1"/>
  <c r="W687" i="1"/>
  <c r="W722" i="1"/>
  <c r="V241" i="1"/>
  <c r="V69" i="1"/>
  <c r="V36" i="1"/>
  <c r="V686" i="1"/>
  <c r="V687" i="1"/>
  <c r="V722" i="1"/>
  <c r="U241" i="1"/>
  <c r="U69" i="1"/>
  <c r="U36" i="1"/>
  <c r="U686" i="1"/>
  <c r="U687" i="1"/>
  <c r="U722" i="1"/>
  <c r="T241" i="1"/>
  <c r="T69" i="1"/>
  <c r="T36" i="1"/>
  <c r="T686" i="1"/>
  <c r="T687" i="1"/>
  <c r="T722" i="1"/>
  <c r="S241" i="1"/>
  <c r="S69" i="1"/>
  <c r="S36" i="1"/>
  <c r="S686" i="1"/>
  <c r="S687" i="1"/>
  <c r="S722" i="1"/>
  <c r="R241" i="1"/>
  <c r="R69" i="1"/>
  <c r="R36" i="1"/>
  <c r="R686" i="1"/>
  <c r="R687" i="1"/>
  <c r="R722" i="1"/>
  <c r="Q241" i="1"/>
  <c r="Q69" i="1"/>
  <c r="Q36" i="1"/>
  <c r="Q686" i="1"/>
  <c r="Q687" i="1"/>
  <c r="Q722" i="1"/>
  <c r="P241" i="1"/>
  <c r="P69" i="1"/>
  <c r="P36" i="1"/>
  <c r="P686" i="1"/>
  <c r="P687" i="1"/>
  <c r="P722" i="1"/>
  <c r="O241" i="1"/>
  <c r="O69" i="1"/>
  <c r="O36" i="1"/>
  <c r="O686" i="1"/>
  <c r="O687" i="1"/>
  <c r="O722" i="1"/>
  <c r="N241" i="1"/>
  <c r="N69" i="1"/>
  <c r="N36" i="1"/>
  <c r="N686" i="1"/>
  <c r="N687" i="1"/>
  <c r="N722" i="1"/>
  <c r="M241" i="1"/>
  <c r="M69" i="1"/>
  <c r="M36" i="1"/>
  <c r="M686" i="1"/>
  <c r="M687" i="1"/>
  <c r="M722" i="1"/>
  <c r="L241" i="1"/>
  <c r="L69" i="1"/>
  <c r="L36" i="1"/>
  <c r="L686" i="1"/>
  <c r="L687" i="1"/>
  <c r="L722" i="1"/>
  <c r="K241" i="1"/>
  <c r="K69" i="1"/>
  <c r="K36" i="1"/>
  <c r="K686" i="1"/>
  <c r="K687" i="1"/>
  <c r="K722" i="1"/>
  <c r="J241" i="1"/>
  <c r="J69" i="1"/>
  <c r="J36" i="1"/>
  <c r="J686" i="1"/>
  <c r="J687" i="1"/>
  <c r="J722" i="1"/>
  <c r="I241" i="1"/>
  <c r="I69" i="1"/>
  <c r="I36" i="1"/>
  <c r="I686" i="1"/>
  <c r="I687" i="1"/>
  <c r="I722" i="1"/>
  <c r="H241" i="1"/>
  <c r="H69" i="1"/>
  <c r="H36" i="1"/>
  <c r="H686" i="1"/>
  <c r="H687" i="1"/>
  <c r="H722" i="1"/>
  <c r="G241" i="1"/>
  <c r="G69" i="1"/>
  <c r="G36" i="1"/>
  <c r="G686" i="1"/>
  <c r="G687" i="1"/>
  <c r="G722" i="1"/>
  <c r="F241" i="1"/>
  <c r="F69" i="1"/>
  <c r="F36" i="1"/>
  <c r="F686" i="1"/>
  <c r="F687" i="1"/>
  <c r="F722" i="1"/>
  <c r="E241" i="1"/>
  <c r="E69" i="1"/>
  <c r="E36" i="1"/>
  <c r="E686" i="1"/>
  <c r="E687" i="1"/>
  <c r="E722" i="1"/>
  <c r="D241" i="1"/>
  <c r="D69" i="1"/>
  <c r="D36" i="1"/>
  <c r="D686" i="1"/>
  <c r="D687" i="1"/>
  <c r="D722" i="1"/>
  <c r="C725" i="1"/>
  <c r="C724" i="1"/>
  <c r="C720" i="1"/>
  <c r="C721" i="1"/>
  <c r="C723" i="1"/>
  <c r="C69" i="1"/>
  <c r="C36" i="1"/>
  <c r="C686" i="1"/>
  <c r="C687" i="1"/>
  <c r="C722" i="1"/>
  <c r="AF664" i="1"/>
  <c r="AE664" i="1"/>
  <c r="AD664" i="1"/>
  <c r="AC664" i="1"/>
  <c r="AB664" i="1"/>
  <c r="AA664" i="1"/>
  <c r="Z664" i="1"/>
  <c r="Y664" i="1"/>
  <c r="X664" i="1"/>
  <c r="W664" i="1"/>
  <c r="V664" i="1"/>
  <c r="U664" i="1"/>
  <c r="T664" i="1"/>
  <c r="S664" i="1"/>
  <c r="R664" i="1"/>
  <c r="Q664" i="1"/>
  <c r="P664" i="1"/>
  <c r="O664" i="1"/>
  <c r="N664" i="1"/>
  <c r="M664" i="1"/>
  <c r="L664" i="1"/>
  <c r="K664" i="1"/>
  <c r="J664" i="1"/>
  <c r="I664" i="1"/>
  <c r="H664" i="1"/>
  <c r="G664" i="1"/>
  <c r="F664" i="1"/>
  <c r="E664" i="1"/>
  <c r="D664" i="1"/>
  <c r="O55" i="1"/>
  <c r="K63" i="4"/>
  <c r="N55" i="1"/>
  <c r="K62" i="4"/>
  <c r="M55" i="1"/>
  <c r="K61" i="4"/>
  <c r="L55" i="1"/>
  <c r="K60" i="4"/>
  <c r="K55" i="1"/>
  <c r="K59" i="4"/>
  <c r="J55" i="1"/>
  <c r="K58" i="4"/>
  <c r="I55" i="1"/>
  <c r="K57" i="4"/>
  <c r="H55" i="1"/>
  <c r="K56" i="4"/>
  <c r="G55" i="1"/>
  <c r="K55" i="4"/>
  <c r="F55" i="1"/>
  <c r="K54" i="4"/>
  <c r="E55" i="1"/>
  <c r="K53" i="4"/>
  <c r="D55" i="1"/>
  <c r="K52" i="4"/>
  <c r="C55" i="1"/>
  <c r="K51" i="4"/>
  <c r="C656" i="1"/>
  <c r="C664" i="1"/>
  <c r="BZ80" i="4"/>
  <c r="BZ79" i="4"/>
  <c r="BZ78" i="4"/>
  <c r="BZ77" i="4"/>
  <c r="BZ76" i="4"/>
  <c r="BZ75" i="4"/>
  <c r="BZ74" i="4"/>
  <c r="BZ73" i="4"/>
  <c r="BZ72" i="4"/>
  <c r="BZ71" i="4"/>
  <c r="BZ70" i="4"/>
  <c r="BZ69" i="4"/>
  <c r="BZ68" i="4"/>
  <c r="BZ67" i="4"/>
  <c r="BZ66" i="4"/>
  <c r="BZ65" i="4"/>
  <c r="BZ64" i="4"/>
  <c r="BZ63" i="4"/>
  <c r="BZ62" i="4"/>
  <c r="BZ61" i="4"/>
  <c r="BZ60" i="4"/>
  <c r="BZ59" i="4"/>
  <c r="BZ58" i="4"/>
  <c r="BZ57" i="4"/>
  <c r="BZ56" i="4"/>
  <c r="BZ55" i="4"/>
  <c r="BZ54" i="4"/>
  <c r="BZ53" i="4"/>
  <c r="BZ52" i="4"/>
  <c r="AF712" i="1"/>
  <c r="AF718" i="1"/>
  <c r="AF728" i="1"/>
  <c r="AF729" i="1"/>
  <c r="AF90" i="1"/>
  <c r="BV80" i="4"/>
  <c r="AE712" i="1"/>
  <c r="AE718" i="1"/>
  <c r="AE728" i="1"/>
  <c r="AE729" i="1"/>
  <c r="AE90" i="1"/>
  <c r="BV79" i="4"/>
  <c r="AD712" i="1"/>
  <c r="AD718" i="1"/>
  <c r="AD728" i="1"/>
  <c r="AD729" i="1"/>
  <c r="AD90" i="1"/>
  <c r="BV78" i="4"/>
  <c r="AC712" i="1"/>
  <c r="AC718" i="1"/>
  <c r="AC728" i="1"/>
  <c r="AC729" i="1"/>
  <c r="AC90" i="1"/>
  <c r="BV77" i="4"/>
  <c r="AB712" i="1"/>
  <c r="AB718" i="1"/>
  <c r="AB728" i="1"/>
  <c r="AB729" i="1"/>
  <c r="AB90" i="1"/>
  <c r="BV76" i="4"/>
  <c r="AA712" i="1"/>
  <c r="AA718" i="1"/>
  <c r="AA728" i="1"/>
  <c r="AA729" i="1"/>
  <c r="AA90" i="1"/>
  <c r="BV75" i="4"/>
  <c r="Z712" i="1"/>
  <c r="Z718" i="1"/>
  <c r="Z728" i="1"/>
  <c r="Z729" i="1"/>
  <c r="Z90" i="1"/>
  <c r="BV74" i="4"/>
  <c r="Y712" i="1"/>
  <c r="Y718" i="1"/>
  <c r="Y728" i="1"/>
  <c r="Y729" i="1"/>
  <c r="Y90" i="1"/>
  <c r="BV73" i="4"/>
  <c r="X712" i="1"/>
  <c r="X718" i="1"/>
  <c r="X728" i="1"/>
  <c r="X729" i="1"/>
  <c r="X90" i="1"/>
  <c r="BV72" i="4"/>
  <c r="W712" i="1"/>
  <c r="W718" i="1"/>
  <c r="W728" i="1"/>
  <c r="W729" i="1"/>
  <c r="W90" i="1"/>
  <c r="BV71" i="4"/>
  <c r="V712" i="1"/>
  <c r="V718" i="1"/>
  <c r="V728" i="1"/>
  <c r="V729" i="1"/>
  <c r="V90" i="1"/>
  <c r="BV70" i="4"/>
  <c r="U712" i="1"/>
  <c r="U718" i="1"/>
  <c r="U728" i="1"/>
  <c r="U729" i="1"/>
  <c r="U90" i="1"/>
  <c r="BV69" i="4"/>
  <c r="T712" i="1"/>
  <c r="T718" i="1"/>
  <c r="T728" i="1"/>
  <c r="T729" i="1"/>
  <c r="T90" i="1"/>
  <c r="BV68" i="4"/>
  <c r="S712" i="1"/>
  <c r="S718" i="1"/>
  <c r="S728" i="1"/>
  <c r="S729" i="1"/>
  <c r="S90" i="1"/>
  <c r="BV67" i="4"/>
  <c r="R712" i="1"/>
  <c r="R718" i="1"/>
  <c r="R728" i="1"/>
  <c r="R729" i="1"/>
  <c r="R90" i="1"/>
  <c r="BV66" i="4"/>
  <c r="Q712" i="1"/>
  <c r="Q718" i="1"/>
  <c r="Q728" i="1"/>
  <c r="Q729" i="1"/>
  <c r="Q90" i="1"/>
  <c r="BV65" i="4"/>
  <c r="P712" i="1"/>
  <c r="P718" i="1"/>
  <c r="P728" i="1"/>
  <c r="P729" i="1"/>
  <c r="P90" i="1"/>
  <c r="BV64" i="4"/>
  <c r="O712" i="1"/>
  <c r="O718" i="1"/>
  <c r="O728" i="1"/>
  <c r="O729" i="1"/>
  <c r="O90" i="1"/>
  <c r="BV63" i="4"/>
  <c r="N712" i="1"/>
  <c r="N718" i="1"/>
  <c r="N728" i="1"/>
  <c r="N729" i="1"/>
  <c r="N90" i="1"/>
  <c r="BV62" i="4"/>
  <c r="M712" i="1"/>
  <c r="M718" i="1"/>
  <c r="M728" i="1"/>
  <c r="M729" i="1"/>
  <c r="M90" i="1"/>
  <c r="BV61" i="4"/>
  <c r="L712" i="1"/>
  <c r="L718" i="1"/>
  <c r="L728" i="1"/>
  <c r="L729" i="1"/>
  <c r="L90" i="1"/>
  <c r="BV60" i="4"/>
  <c r="K712" i="1"/>
  <c r="K718" i="1"/>
  <c r="K728" i="1"/>
  <c r="K729" i="1"/>
  <c r="K90" i="1"/>
  <c r="BV59" i="4"/>
  <c r="J712" i="1"/>
  <c r="J718" i="1"/>
  <c r="J728" i="1"/>
  <c r="J729" i="1"/>
  <c r="J90" i="1"/>
  <c r="BV58" i="4"/>
  <c r="I712" i="1"/>
  <c r="I718" i="1"/>
  <c r="I728" i="1"/>
  <c r="I729" i="1"/>
  <c r="I90" i="1"/>
  <c r="BV57" i="4"/>
  <c r="H712" i="1"/>
  <c r="H718" i="1"/>
  <c r="H728" i="1"/>
  <c r="H729" i="1"/>
  <c r="H90" i="1"/>
  <c r="BV56" i="4"/>
  <c r="G712" i="1"/>
  <c r="G718" i="1"/>
  <c r="G728" i="1"/>
  <c r="G729" i="1"/>
  <c r="G90" i="1"/>
  <c r="BV55" i="4"/>
  <c r="F712" i="1"/>
  <c r="F718" i="1"/>
  <c r="F728" i="1"/>
  <c r="F729" i="1"/>
  <c r="F90" i="1"/>
  <c r="BV54" i="4"/>
  <c r="E712" i="1"/>
  <c r="E718" i="1"/>
  <c r="E728" i="1"/>
  <c r="E729" i="1"/>
  <c r="E90" i="1"/>
  <c r="BV53" i="4"/>
  <c r="D712" i="1"/>
  <c r="D718" i="1"/>
  <c r="D728" i="1"/>
  <c r="D729" i="1"/>
  <c r="D90" i="1"/>
  <c r="BV52" i="4"/>
  <c r="BZ51" i="4"/>
  <c r="C712" i="1"/>
  <c r="C718" i="1"/>
  <c r="C728" i="1"/>
  <c r="C729" i="1"/>
  <c r="C90" i="1"/>
  <c r="BV51" i="4"/>
  <c r="AF48" i="1"/>
  <c r="AE48" i="1"/>
  <c r="AD48" i="1"/>
  <c r="AC48" i="1"/>
  <c r="AB48" i="1"/>
  <c r="AA48" i="1"/>
  <c r="Z48" i="1"/>
  <c r="Y48" i="1"/>
  <c r="X48" i="1"/>
  <c r="W48" i="1"/>
  <c r="V48" i="1"/>
  <c r="U48" i="1"/>
  <c r="T48" i="1"/>
  <c r="S48" i="1"/>
  <c r="R48" i="1"/>
  <c r="Q48" i="1"/>
  <c r="P48" i="1"/>
  <c r="O48" i="1"/>
  <c r="N48" i="1"/>
  <c r="M48" i="1"/>
  <c r="L48" i="1"/>
  <c r="K48" i="1"/>
  <c r="J48" i="1"/>
  <c r="I48" i="1"/>
  <c r="H48" i="1"/>
  <c r="G48" i="1"/>
  <c r="F48" i="1"/>
  <c r="E48" i="1"/>
  <c r="D48" i="1"/>
  <c r="C48" i="1"/>
  <c r="AF55" i="1"/>
  <c r="AE55" i="1"/>
  <c r="AD55" i="1"/>
  <c r="AC55" i="1"/>
  <c r="AB55" i="1"/>
  <c r="AA55" i="1"/>
  <c r="Z55" i="1"/>
  <c r="Y55" i="1"/>
  <c r="X55" i="1"/>
  <c r="W55" i="1"/>
  <c r="V55" i="1"/>
  <c r="U55" i="1"/>
  <c r="T55" i="1"/>
  <c r="S55" i="1"/>
  <c r="R55" i="1"/>
  <c r="Q55" i="1"/>
  <c r="P55" i="1"/>
  <c r="AF681" i="1"/>
  <c r="AF145" i="1"/>
  <c r="AE681" i="1"/>
  <c r="AE145" i="1"/>
  <c r="AD681" i="1"/>
  <c r="AD145" i="1"/>
  <c r="AC681" i="1"/>
  <c r="AC145" i="1"/>
  <c r="AB681" i="1"/>
  <c r="AB145" i="1"/>
  <c r="AA681" i="1"/>
  <c r="AA145" i="1"/>
  <c r="Z681" i="1"/>
  <c r="Z145" i="1"/>
  <c r="Y681" i="1"/>
  <c r="Y145" i="1"/>
  <c r="X681" i="1"/>
  <c r="X145" i="1"/>
  <c r="W681" i="1"/>
  <c r="W145" i="1"/>
  <c r="V681" i="1"/>
  <c r="V145" i="1"/>
  <c r="U681" i="1"/>
  <c r="U145" i="1"/>
  <c r="T681" i="1"/>
  <c r="T145" i="1"/>
  <c r="S681" i="1"/>
  <c r="S145" i="1"/>
  <c r="R681" i="1"/>
  <c r="R145" i="1"/>
  <c r="Q681" i="1"/>
  <c r="Q145" i="1"/>
  <c r="P681" i="1"/>
  <c r="P145" i="1"/>
  <c r="O681" i="1"/>
  <c r="O145" i="1"/>
  <c r="N681" i="1"/>
  <c r="N145" i="1"/>
  <c r="M681" i="1"/>
  <c r="M145" i="1"/>
  <c r="L681" i="1"/>
  <c r="L145" i="1"/>
  <c r="K681" i="1"/>
  <c r="K145" i="1"/>
  <c r="J681" i="1"/>
  <c r="J145" i="1"/>
  <c r="I681" i="1"/>
  <c r="I145" i="1"/>
  <c r="H681" i="1"/>
  <c r="H145" i="1"/>
  <c r="G681" i="1"/>
  <c r="G145" i="1"/>
  <c r="F681" i="1"/>
  <c r="F145" i="1"/>
  <c r="E681" i="1"/>
  <c r="E145" i="1"/>
  <c r="D681" i="1"/>
  <c r="D145" i="1"/>
  <c r="AF144" i="1"/>
  <c r="AE144" i="1"/>
  <c r="AD144" i="1"/>
  <c r="AC144" i="1"/>
  <c r="AB144" i="1"/>
  <c r="AA144" i="1"/>
  <c r="Z144" i="1"/>
  <c r="Y144" i="1"/>
  <c r="X144" i="1"/>
  <c r="W144" i="1"/>
  <c r="V144" i="1"/>
  <c r="U144" i="1"/>
  <c r="T144" i="1"/>
  <c r="S144" i="1"/>
  <c r="R144" i="1"/>
  <c r="Q144" i="1"/>
  <c r="P144" i="1"/>
  <c r="O144" i="1"/>
  <c r="N144" i="1"/>
  <c r="M144" i="1"/>
  <c r="L144" i="1"/>
  <c r="K144" i="1"/>
  <c r="J144" i="1"/>
  <c r="I144" i="1"/>
  <c r="H144" i="1"/>
  <c r="G144" i="1"/>
  <c r="F144" i="1"/>
  <c r="E144" i="1"/>
  <c r="D144" i="1"/>
  <c r="C681" i="1"/>
  <c r="C145" i="1"/>
  <c r="AF690" i="1"/>
  <c r="AF684" i="1"/>
  <c r="AF688" i="1"/>
  <c r="AE690" i="1"/>
  <c r="AE684" i="1"/>
  <c r="AE688" i="1"/>
  <c r="AD690" i="1"/>
  <c r="AD684" i="1"/>
  <c r="AD688" i="1"/>
  <c r="AC690" i="1"/>
  <c r="AC684" i="1"/>
  <c r="AC688" i="1"/>
  <c r="AB690" i="1"/>
  <c r="AB684" i="1"/>
  <c r="AB688" i="1"/>
  <c r="AA690" i="1"/>
  <c r="AA684" i="1"/>
  <c r="AA688" i="1"/>
  <c r="Z690" i="1"/>
  <c r="Z684" i="1"/>
  <c r="Z688" i="1"/>
  <c r="Y690" i="1"/>
  <c r="Y684" i="1"/>
  <c r="Y688" i="1"/>
  <c r="X690" i="1"/>
  <c r="X684" i="1"/>
  <c r="X688" i="1"/>
  <c r="W690" i="1"/>
  <c r="W684" i="1"/>
  <c r="W688" i="1"/>
  <c r="V690" i="1"/>
  <c r="V684" i="1"/>
  <c r="V688" i="1"/>
  <c r="U690" i="1"/>
  <c r="U684" i="1"/>
  <c r="U688" i="1"/>
  <c r="T690" i="1"/>
  <c r="T684" i="1"/>
  <c r="T688" i="1"/>
  <c r="S690" i="1"/>
  <c r="S684" i="1"/>
  <c r="S688" i="1"/>
  <c r="R690" i="1"/>
  <c r="R684" i="1"/>
  <c r="R688" i="1"/>
  <c r="Q690" i="1"/>
  <c r="Q684" i="1"/>
  <c r="Q688" i="1"/>
  <c r="P690" i="1"/>
  <c r="P684" i="1"/>
  <c r="P688" i="1"/>
  <c r="O690" i="1"/>
  <c r="O684" i="1"/>
  <c r="O688" i="1"/>
  <c r="N690" i="1"/>
  <c r="N684" i="1"/>
  <c r="N688" i="1"/>
  <c r="M690" i="1"/>
  <c r="M684" i="1"/>
  <c r="M688" i="1"/>
  <c r="L690" i="1"/>
  <c r="L684" i="1"/>
  <c r="L688" i="1"/>
  <c r="K690" i="1"/>
  <c r="K684" i="1"/>
  <c r="K688" i="1"/>
  <c r="J690" i="1"/>
  <c r="J684" i="1"/>
  <c r="J688" i="1"/>
  <c r="I690" i="1"/>
  <c r="I684" i="1"/>
  <c r="I688" i="1"/>
  <c r="H690" i="1"/>
  <c r="H684" i="1"/>
  <c r="H688" i="1"/>
  <c r="G690" i="1"/>
  <c r="G684" i="1"/>
  <c r="G688" i="1"/>
  <c r="F690" i="1"/>
  <c r="F684" i="1"/>
  <c r="F688" i="1"/>
  <c r="E690" i="1"/>
  <c r="E684" i="1"/>
  <c r="E688" i="1"/>
  <c r="AF685" i="1"/>
  <c r="AE685" i="1"/>
  <c r="AD685" i="1"/>
  <c r="AC685" i="1"/>
  <c r="AB685" i="1"/>
  <c r="AA685" i="1"/>
  <c r="Z685" i="1"/>
  <c r="Y685" i="1"/>
  <c r="X685" i="1"/>
  <c r="W685" i="1"/>
  <c r="V685" i="1"/>
  <c r="U685" i="1"/>
  <c r="T685" i="1"/>
  <c r="S685" i="1"/>
  <c r="R685" i="1"/>
  <c r="Q685" i="1"/>
  <c r="P685" i="1"/>
  <c r="O685" i="1"/>
  <c r="N685" i="1"/>
  <c r="M685" i="1"/>
  <c r="L685" i="1"/>
  <c r="K685" i="1"/>
  <c r="J685" i="1"/>
  <c r="I685" i="1"/>
  <c r="H685" i="1"/>
  <c r="G685" i="1"/>
  <c r="F685" i="1"/>
  <c r="E685" i="1"/>
  <c r="AF682" i="1"/>
  <c r="AF679" i="1"/>
  <c r="AF683" i="1"/>
  <c r="AE682" i="1"/>
  <c r="AE679" i="1"/>
  <c r="AE683" i="1"/>
  <c r="AD682" i="1"/>
  <c r="AD679" i="1"/>
  <c r="AD683" i="1"/>
  <c r="AC682" i="1"/>
  <c r="AC679" i="1"/>
  <c r="AC683" i="1"/>
  <c r="AB682" i="1"/>
  <c r="AB679" i="1"/>
  <c r="AB683" i="1"/>
  <c r="AA682" i="1"/>
  <c r="AA679" i="1"/>
  <c r="AA683" i="1"/>
  <c r="Z682" i="1"/>
  <c r="Z679" i="1"/>
  <c r="Z683" i="1"/>
  <c r="Y682" i="1"/>
  <c r="Y679" i="1"/>
  <c r="Y683" i="1"/>
  <c r="X682" i="1"/>
  <c r="X679" i="1"/>
  <c r="X683" i="1"/>
  <c r="W682" i="1"/>
  <c r="W679" i="1"/>
  <c r="W683" i="1"/>
  <c r="V682" i="1"/>
  <c r="V679" i="1"/>
  <c r="V683" i="1"/>
  <c r="U682" i="1"/>
  <c r="U679" i="1"/>
  <c r="U683" i="1"/>
  <c r="T682" i="1"/>
  <c r="T679" i="1"/>
  <c r="T683" i="1"/>
  <c r="S682" i="1"/>
  <c r="S679" i="1"/>
  <c r="S683" i="1"/>
  <c r="R682" i="1"/>
  <c r="R679" i="1"/>
  <c r="R683" i="1"/>
  <c r="Q682" i="1"/>
  <c r="Q679" i="1"/>
  <c r="Q683" i="1"/>
  <c r="P682" i="1"/>
  <c r="P679" i="1"/>
  <c r="P683" i="1"/>
  <c r="O682" i="1"/>
  <c r="O679" i="1"/>
  <c r="O683" i="1"/>
  <c r="N682" i="1"/>
  <c r="N679" i="1"/>
  <c r="N683" i="1"/>
  <c r="M682" i="1"/>
  <c r="M679" i="1"/>
  <c r="M683" i="1"/>
  <c r="L682" i="1"/>
  <c r="L679" i="1"/>
  <c r="L683" i="1"/>
  <c r="K682" i="1"/>
  <c r="K679" i="1"/>
  <c r="K683" i="1"/>
  <c r="J682" i="1"/>
  <c r="J679" i="1"/>
  <c r="J683" i="1"/>
  <c r="I682" i="1"/>
  <c r="I679" i="1"/>
  <c r="I683" i="1"/>
  <c r="H682" i="1"/>
  <c r="H679" i="1"/>
  <c r="H683" i="1"/>
  <c r="G682" i="1"/>
  <c r="G679" i="1"/>
  <c r="G683" i="1"/>
  <c r="F682" i="1"/>
  <c r="F679" i="1"/>
  <c r="F683" i="1"/>
  <c r="E682" i="1"/>
  <c r="E679" i="1"/>
  <c r="E683" i="1"/>
  <c r="AF680" i="1"/>
  <c r="AE680" i="1"/>
  <c r="AD680" i="1"/>
  <c r="AC680" i="1"/>
  <c r="AB680" i="1"/>
  <c r="AA680" i="1"/>
  <c r="Z680" i="1"/>
  <c r="Y680" i="1"/>
  <c r="X680" i="1"/>
  <c r="W680" i="1"/>
  <c r="V680" i="1"/>
  <c r="U680" i="1"/>
  <c r="T680" i="1"/>
  <c r="S680" i="1"/>
  <c r="R680" i="1"/>
  <c r="Q680" i="1"/>
  <c r="P680" i="1"/>
  <c r="O680" i="1"/>
  <c r="N680" i="1"/>
  <c r="M680" i="1"/>
  <c r="L680" i="1"/>
  <c r="K680" i="1"/>
  <c r="J680" i="1"/>
  <c r="I680" i="1"/>
  <c r="H680" i="1"/>
  <c r="G680" i="1"/>
  <c r="F680" i="1"/>
  <c r="E680" i="1"/>
  <c r="C690" i="1"/>
  <c r="C684" i="1"/>
  <c r="C688" i="1"/>
  <c r="C685" i="1"/>
  <c r="C682" i="1"/>
  <c r="C679" i="1"/>
  <c r="C683" i="1"/>
  <c r="C680" i="1"/>
  <c r="D690" i="1"/>
  <c r="D684" i="1"/>
  <c r="D688" i="1"/>
  <c r="D685" i="1"/>
  <c r="AI37" i="26"/>
  <c r="AI36" i="26"/>
  <c r="AI35" i="26"/>
  <c r="AI34" i="26"/>
  <c r="AI33" i="26"/>
  <c r="AI32" i="26"/>
  <c r="AI31" i="26"/>
  <c r="AI30" i="26"/>
  <c r="AI29" i="26"/>
  <c r="AI28" i="26"/>
  <c r="V124" i="1"/>
  <c r="V95" i="1"/>
  <c r="AI27" i="26"/>
  <c r="AX37" i="26"/>
  <c r="AW37" i="26"/>
  <c r="AV37" i="26"/>
  <c r="AU37" i="26"/>
  <c r="AX36" i="26"/>
  <c r="AW36" i="26"/>
  <c r="AV36" i="26"/>
  <c r="AU36" i="26"/>
  <c r="AX35" i="26"/>
  <c r="AW35" i="26"/>
  <c r="AV35" i="26"/>
  <c r="AU35" i="26"/>
  <c r="AX34" i="26"/>
  <c r="AW34" i="26"/>
  <c r="AV34" i="26"/>
  <c r="AU34" i="26"/>
  <c r="AX33" i="26"/>
  <c r="AW33" i="26"/>
  <c r="AV33" i="26"/>
  <c r="AU33" i="26"/>
  <c r="AX32" i="26"/>
  <c r="AW32" i="26"/>
  <c r="AV32" i="26"/>
  <c r="AU32" i="26"/>
  <c r="AX31" i="26"/>
  <c r="AW31" i="26"/>
  <c r="AV31" i="26"/>
  <c r="AU31" i="26"/>
  <c r="AX30" i="26"/>
  <c r="AW30" i="26"/>
  <c r="AV30" i="26"/>
  <c r="AU30" i="26"/>
  <c r="AX29" i="26"/>
  <c r="AW29" i="26"/>
  <c r="AV29" i="26"/>
  <c r="AU29" i="26"/>
  <c r="AX28" i="26"/>
  <c r="AW28" i="26"/>
  <c r="AV28" i="26"/>
  <c r="AU28" i="26"/>
  <c r="V121" i="1"/>
  <c r="V103" i="1"/>
  <c r="V294" i="1"/>
  <c r="V295" i="1"/>
  <c r="V296" i="1"/>
  <c r="V297" i="1"/>
  <c r="V298" i="1"/>
  <c r="V299" i="1"/>
  <c r="V300" i="1"/>
  <c r="V301" i="1"/>
  <c r="V302" i="1"/>
  <c r="V303" i="1"/>
  <c r="V304" i="1"/>
  <c r="V305" i="1"/>
  <c r="V306" i="1"/>
  <c r="V275" i="1"/>
  <c r="V307" i="1"/>
  <c r="V308" i="1"/>
  <c r="V309" i="1"/>
  <c r="V310" i="1"/>
  <c r="V311" i="1"/>
  <c r="V122" i="1"/>
  <c r="V430" i="1"/>
  <c r="V313" i="1"/>
  <c r="V314" i="1"/>
  <c r="V315" i="1"/>
  <c r="V316" i="1"/>
  <c r="V317" i="1"/>
  <c r="V318" i="1"/>
  <c r="V319" i="1"/>
  <c r="V320" i="1"/>
  <c r="V321" i="1"/>
  <c r="V322" i="1"/>
  <c r="V323" i="1"/>
  <c r="V324" i="1"/>
  <c r="V325" i="1"/>
  <c r="V326" i="1"/>
  <c r="V327" i="1"/>
  <c r="V328" i="1"/>
  <c r="V329" i="1"/>
  <c r="V330" i="1"/>
  <c r="V125" i="1"/>
  <c r="V431" i="1"/>
  <c r="V420" i="1"/>
  <c r="V421" i="1"/>
  <c r="V422" i="1"/>
  <c r="V423" i="1"/>
  <c r="V424" i="1"/>
  <c r="V425" i="1"/>
  <c r="V426" i="1"/>
  <c r="V427" i="1"/>
  <c r="V428" i="1"/>
  <c r="V429" i="1"/>
  <c r="V104" i="1"/>
  <c r="AR27" i="26"/>
  <c r="AX27" i="26"/>
  <c r="AQ27" i="26"/>
  <c r="AW27" i="26"/>
  <c r="V118" i="1"/>
  <c r="V97" i="1"/>
  <c r="V285" i="1"/>
  <c r="V286" i="1"/>
  <c r="V287" i="1"/>
  <c r="V288" i="1"/>
  <c r="V289" i="1"/>
  <c r="V290" i="1"/>
  <c r="V291" i="1"/>
  <c r="V292" i="1"/>
  <c r="V119" i="1"/>
  <c r="V417" i="1"/>
  <c r="V418" i="1"/>
  <c r="V407" i="1"/>
  <c r="V408" i="1"/>
  <c r="V409" i="1"/>
  <c r="V410" i="1"/>
  <c r="V411" i="1"/>
  <c r="V412" i="1"/>
  <c r="V413" i="1"/>
  <c r="V414" i="1"/>
  <c r="V415" i="1"/>
  <c r="V416" i="1"/>
  <c r="V98" i="1"/>
  <c r="AL27" i="26"/>
  <c r="AV27" i="26"/>
  <c r="AK27" i="26"/>
  <c r="AU27" i="26"/>
  <c r="U124" i="1"/>
  <c r="U121" i="1"/>
  <c r="U103" i="1"/>
  <c r="U294" i="1"/>
  <c r="U295" i="1"/>
  <c r="U296" i="1"/>
  <c r="U297" i="1"/>
  <c r="U298" i="1"/>
  <c r="U299" i="1"/>
  <c r="U300" i="1"/>
  <c r="U301" i="1"/>
  <c r="U302" i="1"/>
  <c r="U303" i="1"/>
  <c r="U304" i="1"/>
  <c r="U305" i="1"/>
  <c r="U306" i="1"/>
  <c r="U275" i="1"/>
  <c r="U307" i="1"/>
  <c r="U308" i="1"/>
  <c r="U309" i="1"/>
  <c r="U310" i="1"/>
  <c r="U311" i="1"/>
  <c r="U122" i="1"/>
  <c r="U430" i="1"/>
  <c r="U313" i="1"/>
  <c r="U314" i="1"/>
  <c r="U315" i="1"/>
  <c r="U316" i="1"/>
  <c r="U317" i="1"/>
  <c r="U318" i="1"/>
  <c r="U319" i="1"/>
  <c r="U320" i="1"/>
  <c r="U321" i="1"/>
  <c r="U322" i="1"/>
  <c r="U323" i="1"/>
  <c r="U324" i="1"/>
  <c r="U325" i="1"/>
  <c r="U326" i="1"/>
  <c r="U327" i="1"/>
  <c r="U328" i="1"/>
  <c r="U329" i="1"/>
  <c r="U330" i="1"/>
  <c r="U125" i="1"/>
  <c r="U431" i="1"/>
  <c r="U420" i="1"/>
  <c r="U421" i="1"/>
  <c r="U422" i="1"/>
  <c r="U423" i="1"/>
  <c r="U424" i="1"/>
  <c r="U425" i="1"/>
  <c r="U426" i="1"/>
  <c r="U427" i="1"/>
  <c r="U428" i="1"/>
  <c r="U429" i="1"/>
  <c r="U104" i="1"/>
  <c r="AR26" i="26"/>
  <c r="AX26" i="26"/>
  <c r="AQ26" i="26"/>
  <c r="AW26" i="26"/>
  <c r="U118" i="1"/>
  <c r="U97" i="1"/>
  <c r="U285" i="1"/>
  <c r="U286" i="1"/>
  <c r="U287" i="1"/>
  <c r="U288" i="1"/>
  <c r="U289" i="1"/>
  <c r="U290" i="1"/>
  <c r="U291" i="1"/>
  <c r="U292" i="1"/>
  <c r="U119" i="1"/>
  <c r="U417" i="1"/>
  <c r="U418" i="1"/>
  <c r="U407" i="1"/>
  <c r="U408" i="1"/>
  <c r="U409" i="1"/>
  <c r="U410" i="1"/>
  <c r="U411" i="1"/>
  <c r="U412" i="1"/>
  <c r="U413" i="1"/>
  <c r="U414" i="1"/>
  <c r="U415" i="1"/>
  <c r="U416" i="1"/>
  <c r="U98" i="1"/>
  <c r="AL26" i="26"/>
  <c r="AV26" i="26"/>
  <c r="AK26" i="26"/>
  <c r="AU26" i="26"/>
  <c r="T124" i="1"/>
  <c r="T121" i="1"/>
  <c r="T103" i="1"/>
  <c r="T294" i="1"/>
  <c r="T295" i="1"/>
  <c r="T296" i="1"/>
  <c r="T297" i="1"/>
  <c r="T298" i="1"/>
  <c r="T299" i="1"/>
  <c r="T300" i="1"/>
  <c r="T301" i="1"/>
  <c r="T302" i="1"/>
  <c r="T303" i="1"/>
  <c r="T304" i="1"/>
  <c r="T305" i="1"/>
  <c r="T306" i="1"/>
  <c r="T275" i="1"/>
  <c r="T307" i="1"/>
  <c r="T308" i="1"/>
  <c r="T309" i="1"/>
  <c r="T310" i="1"/>
  <c r="T311" i="1"/>
  <c r="T122" i="1"/>
  <c r="T430" i="1"/>
  <c r="T313" i="1"/>
  <c r="T314" i="1"/>
  <c r="T315" i="1"/>
  <c r="T316" i="1"/>
  <c r="T317" i="1"/>
  <c r="T318" i="1"/>
  <c r="T319" i="1"/>
  <c r="T320" i="1"/>
  <c r="T321" i="1"/>
  <c r="T322" i="1"/>
  <c r="T323" i="1"/>
  <c r="T324" i="1"/>
  <c r="T325" i="1"/>
  <c r="T326" i="1"/>
  <c r="T327" i="1"/>
  <c r="T328" i="1"/>
  <c r="T329" i="1"/>
  <c r="T330" i="1"/>
  <c r="T125" i="1"/>
  <c r="T431" i="1"/>
  <c r="T420" i="1"/>
  <c r="T421" i="1"/>
  <c r="T422" i="1"/>
  <c r="T423" i="1"/>
  <c r="T424" i="1"/>
  <c r="T425" i="1"/>
  <c r="T426" i="1"/>
  <c r="T427" i="1"/>
  <c r="T428" i="1"/>
  <c r="T429" i="1"/>
  <c r="T104" i="1"/>
  <c r="AR25" i="26"/>
  <c r="AX25" i="26"/>
  <c r="AQ25" i="26"/>
  <c r="AW25" i="26"/>
  <c r="T118" i="1"/>
  <c r="T97" i="1"/>
  <c r="T285" i="1"/>
  <c r="T286" i="1"/>
  <c r="T287" i="1"/>
  <c r="T288" i="1"/>
  <c r="T289" i="1"/>
  <c r="T290" i="1"/>
  <c r="T291" i="1"/>
  <c r="T292" i="1"/>
  <c r="T119" i="1"/>
  <c r="T417" i="1"/>
  <c r="T418" i="1"/>
  <c r="T407" i="1"/>
  <c r="T408" i="1"/>
  <c r="T409" i="1"/>
  <c r="T410" i="1"/>
  <c r="T411" i="1"/>
  <c r="T412" i="1"/>
  <c r="T413" i="1"/>
  <c r="T414" i="1"/>
  <c r="T415" i="1"/>
  <c r="T416" i="1"/>
  <c r="T98" i="1"/>
  <c r="AL25" i="26"/>
  <c r="AV25" i="26"/>
  <c r="AK25" i="26"/>
  <c r="AU25" i="26"/>
  <c r="S124" i="1"/>
  <c r="S121" i="1"/>
  <c r="S103" i="1"/>
  <c r="S294" i="1"/>
  <c r="S295" i="1"/>
  <c r="S296" i="1"/>
  <c r="S297" i="1"/>
  <c r="S298" i="1"/>
  <c r="S299" i="1"/>
  <c r="S300" i="1"/>
  <c r="S301" i="1"/>
  <c r="S302" i="1"/>
  <c r="S303" i="1"/>
  <c r="S304" i="1"/>
  <c r="S305" i="1"/>
  <c r="S306" i="1"/>
  <c r="S275" i="1"/>
  <c r="S307" i="1"/>
  <c r="S308" i="1"/>
  <c r="S309" i="1"/>
  <c r="S310" i="1"/>
  <c r="S311" i="1"/>
  <c r="S122" i="1"/>
  <c r="S430" i="1"/>
  <c r="S313" i="1"/>
  <c r="S314" i="1"/>
  <c r="S315" i="1"/>
  <c r="S316" i="1"/>
  <c r="S317" i="1"/>
  <c r="S318" i="1"/>
  <c r="S319" i="1"/>
  <c r="S320" i="1"/>
  <c r="S321" i="1"/>
  <c r="S322" i="1"/>
  <c r="S323" i="1"/>
  <c r="S324" i="1"/>
  <c r="S325" i="1"/>
  <c r="S326" i="1"/>
  <c r="S327" i="1"/>
  <c r="S328" i="1"/>
  <c r="S329" i="1"/>
  <c r="S330" i="1"/>
  <c r="S125" i="1"/>
  <c r="S431" i="1"/>
  <c r="S420" i="1"/>
  <c r="S421" i="1"/>
  <c r="S422" i="1"/>
  <c r="S423" i="1"/>
  <c r="S424" i="1"/>
  <c r="S425" i="1"/>
  <c r="S426" i="1"/>
  <c r="S427" i="1"/>
  <c r="S428" i="1"/>
  <c r="S429" i="1"/>
  <c r="S104" i="1"/>
  <c r="AR24" i="26"/>
  <c r="AX24" i="26"/>
  <c r="AQ24" i="26"/>
  <c r="AW24" i="26"/>
  <c r="S118" i="1"/>
  <c r="S97" i="1"/>
  <c r="S285" i="1"/>
  <c r="S286" i="1"/>
  <c r="S287" i="1"/>
  <c r="S288" i="1"/>
  <c r="S289" i="1"/>
  <c r="S290" i="1"/>
  <c r="S291" i="1"/>
  <c r="S292" i="1"/>
  <c r="S119" i="1"/>
  <c r="S417" i="1"/>
  <c r="S418" i="1"/>
  <c r="S407" i="1"/>
  <c r="S408" i="1"/>
  <c r="S409" i="1"/>
  <c r="S410" i="1"/>
  <c r="S411" i="1"/>
  <c r="S412" i="1"/>
  <c r="S413" i="1"/>
  <c r="S414" i="1"/>
  <c r="S415" i="1"/>
  <c r="S416" i="1"/>
  <c r="S98" i="1"/>
  <c r="AL24" i="26"/>
  <c r="AV24" i="26"/>
  <c r="AK24" i="26"/>
  <c r="AU24" i="26"/>
  <c r="R124" i="1"/>
  <c r="R121" i="1"/>
  <c r="R103" i="1"/>
  <c r="R294" i="1"/>
  <c r="R295" i="1"/>
  <c r="R296" i="1"/>
  <c r="R297" i="1"/>
  <c r="R298" i="1"/>
  <c r="R299" i="1"/>
  <c r="R300" i="1"/>
  <c r="R301" i="1"/>
  <c r="R302" i="1"/>
  <c r="R303" i="1"/>
  <c r="R304" i="1"/>
  <c r="R305" i="1"/>
  <c r="R306" i="1"/>
  <c r="R275" i="1"/>
  <c r="R307" i="1"/>
  <c r="R308" i="1"/>
  <c r="R309" i="1"/>
  <c r="R310" i="1"/>
  <c r="R311" i="1"/>
  <c r="R122" i="1"/>
  <c r="R430" i="1"/>
  <c r="R313" i="1"/>
  <c r="R314" i="1"/>
  <c r="R315" i="1"/>
  <c r="R316" i="1"/>
  <c r="R317" i="1"/>
  <c r="R318" i="1"/>
  <c r="R319" i="1"/>
  <c r="R320" i="1"/>
  <c r="R321" i="1"/>
  <c r="R322" i="1"/>
  <c r="R323" i="1"/>
  <c r="R324" i="1"/>
  <c r="R325" i="1"/>
  <c r="R326" i="1"/>
  <c r="R327" i="1"/>
  <c r="R328" i="1"/>
  <c r="R329" i="1"/>
  <c r="R330" i="1"/>
  <c r="R125" i="1"/>
  <c r="R431" i="1"/>
  <c r="R420" i="1"/>
  <c r="R421" i="1"/>
  <c r="R422" i="1"/>
  <c r="R423" i="1"/>
  <c r="R424" i="1"/>
  <c r="R425" i="1"/>
  <c r="R426" i="1"/>
  <c r="R427" i="1"/>
  <c r="R428" i="1"/>
  <c r="R429" i="1"/>
  <c r="R104" i="1"/>
  <c r="AR23" i="26"/>
  <c r="AX23" i="26"/>
  <c r="AQ23" i="26"/>
  <c r="AW23" i="26"/>
  <c r="R118" i="1"/>
  <c r="R97" i="1"/>
  <c r="R285" i="1"/>
  <c r="R286" i="1"/>
  <c r="R287" i="1"/>
  <c r="R288" i="1"/>
  <c r="R289" i="1"/>
  <c r="R290" i="1"/>
  <c r="R291" i="1"/>
  <c r="R292" i="1"/>
  <c r="R119" i="1"/>
  <c r="R417" i="1"/>
  <c r="R418" i="1"/>
  <c r="R407" i="1"/>
  <c r="R408" i="1"/>
  <c r="R409" i="1"/>
  <c r="R410" i="1"/>
  <c r="R411" i="1"/>
  <c r="R412" i="1"/>
  <c r="R413" i="1"/>
  <c r="R414" i="1"/>
  <c r="R415" i="1"/>
  <c r="R416" i="1"/>
  <c r="R98" i="1"/>
  <c r="AL23" i="26"/>
  <c r="AV23" i="26"/>
  <c r="AK23" i="26"/>
  <c r="AU23" i="26"/>
  <c r="Q124" i="1"/>
  <c r="Q121" i="1"/>
  <c r="Q103" i="1"/>
  <c r="Q294" i="1"/>
  <c r="Q295" i="1"/>
  <c r="Q296" i="1"/>
  <c r="Q297" i="1"/>
  <c r="Q298" i="1"/>
  <c r="Q299" i="1"/>
  <c r="Q300" i="1"/>
  <c r="Q301" i="1"/>
  <c r="Q302" i="1"/>
  <c r="Q303" i="1"/>
  <c r="Q304" i="1"/>
  <c r="Q305" i="1"/>
  <c r="Q306" i="1"/>
  <c r="Q275" i="1"/>
  <c r="Q307" i="1"/>
  <c r="Q308" i="1"/>
  <c r="Q309" i="1"/>
  <c r="Q310" i="1"/>
  <c r="Q311" i="1"/>
  <c r="Q122" i="1"/>
  <c r="Q430" i="1"/>
  <c r="Q313" i="1"/>
  <c r="Q314" i="1"/>
  <c r="Q315" i="1"/>
  <c r="Q316" i="1"/>
  <c r="Q317" i="1"/>
  <c r="Q318" i="1"/>
  <c r="Q319" i="1"/>
  <c r="Q320" i="1"/>
  <c r="Q321" i="1"/>
  <c r="Q322" i="1"/>
  <c r="Q323" i="1"/>
  <c r="Q324" i="1"/>
  <c r="Q325" i="1"/>
  <c r="Q326" i="1"/>
  <c r="Q327" i="1"/>
  <c r="Q328" i="1"/>
  <c r="Q329" i="1"/>
  <c r="Q330" i="1"/>
  <c r="Q125" i="1"/>
  <c r="Q431" i="1"/>
  <c r="Q420" i="1"/>
  <c r="Q421" i="1"/>
  <c r="Q422" i="1"/>
  <c r="Q423" i="1"/>
  <c r="Q424" i="1"/>
  <c r="Q425" i="1"/>
  <c r="Q426" i="1"/>
  <c r="Q427" i="1"/>
  <c r="Q428" i="1"/>
  <c r="Q429" i="1"/>
  <c r="Q104" i="1"/>
  <c r="AR22" i="26"/>
  <c r="AX22" i="26"/>
  <c r="AQ22" i="26"/>
  <c r="AW22" i="26"/>
  <c r="Q118" i="1"/>
  <c r="Q97" i="1"/>
  <c r="Q285" i="1"/>
  <c r="Q286" i="1"/>
  <c r="Q287" i="1"/>
  <c r="Q288" i="1"/>
  <c r="Q289" i="1"/>
  <c r="Q290" i="1"/>
  <c r="Q291" i="1"/>
  <c r="Q292" i="1"/>
  <c r="Q119" i="1"/>
  <c r="Q417" i="1"/>
  <c r="Q418" i="1"/>
  <c r="Q407" i="1"/>
  <c r="Q408" i="1"/>
  <c r="Q409" i="1"/>
  <c r="Q410" i="1"/>
  <c r="Q411" i="1"/>
  <c r="Q412" i="1"/>
  <c r="Q413" i="1"/>
  <c r="Q414" i="1"/>
  <c r="Q415" i="1"/>
  <c r="Q416" i="1"/>
  <c r="Q98" i="1"/>
  <c r="AL22" i="26"/>
  <c r="AV22" i="26"/>
  <c r="AK22" i="26"/>
  <c r="AU22" i="26"/>
  <c r="P124" i="1"/>
  <c r="P121" i="1"/>
  <c r="P103" i="1"/>
  <c r="P294" i="1"/>
  <c r="P295" i="1"/>
  <c r="P296" i="1"/>
  <c r="P297" i="1"/>
  <c r="P298" i="1"/>
  <c r="P299" i="1"/>
  <c r="P300" i="1"/>
  <c r="P301" i="1"/>
  <c r="P302" i="1"/>
  <c r="P303" i="1"/>
  <c r="P304" i="1"/>
  <c r="P305" i="1"/>
  <c r="P306" i="1"/>
  <c r="P275" i="1"/>
  <c r="P307" i="1"/>
  <c r="P308" i="1"/>
  <c r="P309" i="1"/>
  <c r="P310" i="1"/>
  <c r="P311" i="1"/>
  <c r="P122" i="1"/>
  <c r="P430" i="1"/>
  <c r="P313" i="1"/>
  <c r="P314" i="1"/>
  <c r="P315" i="1"/>
  <c r="P316" i="1"/>
  <c r="P317" i="1"/>
  <c r="P318" i="1"/>
  <c r="P319" i="1"/>
  <c r="P320" i="1"/>
  <c r="P321" i="1"/>
  <c r="P322" i="1"/>
  <c r="P323" i="1"/>
  <c r="P324" i="1"/>
  <c r="P325" i="1"/>
  <c r="P326" i="1"/>
  <c r="P327" i="1"/>
  <c r="P328" i="1"/>
  <c r="P329" i="1"/>
  <c r="P330" i="1"/>
  <c r="P125" i="1"/>
  <c r="P431" i="1"/>
  <c r="P420" i="1"/>
  <c r="P421" i="1"/>
  <c r="P422" i="1"/>
  <c r="P423" i="1"/>
  <c r="P424" i="1"/>
  <c r="P425" i="1"/>
  <c r="P426" i="1"/>
  <c r="P427" i="1"/>
  <c r="P428" i="1"/>
  <c r="P429" i="1"/>
  <c r="P104" i="1"/>
  <c r="AR21" i="26"/>
  <c r="AX21" i="26"/>
  <c r="AQ21" i="26"/>
  <c r="AW21" i="26"/>
  <c r="P118" i="1"/>
  <c r="P97" i="1"/>
  <c r="P285" i="1"/>
  <c r="P286" i="1"/>
  <c r="P287" i="1"/>
  <c r="P288" i="1"/>
  <c r="P289" i="1"/>
  <c r="P290" i="1"/>
  <c r="P291" i="1"/>
  <c r="P292" i="1"/>
  <c r="P119" i="1"/>
  <c r="P417" i="1"/>
  <c r="P418" i="1"/>
  <c r="P407" i="1"/>
  <c r="P408" i="1"/>
  <c r="P409" i="1"/>
  <c r="P410" i="1"/>
  <c r="P411" i="1"/>
  <c r="P412" i="1"/>
  <c r="P413" i="1"/>
  <c r="P414" i="1"/>
  <c r="P415" i="1"/>
  <c r="P416" i="1"/>
  <c r="P98" i="1"/>
  <c r="AL21" i="26"/>
  <c r="AV21" i="26"/>
  <c r="AK21" i="26"/>
  <c r="AU21" i="26"/>
  <c r="O124" i="1"/>
  <c r="O121" i="1"/>
  <c r="O103" i="1"/>
  <c r="O294" i="1"/>
  <c r="O295" i="1"/>
  <c r="O296" i="1"/>
  <c r="O297" i="1"/>
  <c r="O298" i="1"/>
  <c r="O299" i="1"/>
  <c r="O300" i="1"/>
  <c r="O301" i="1"/>
  <c r="O302" i="1"/>
  <c r="O303" i="1"/>
  <c r="O304" i="1"/>
  <c r="O305" i="1"/>
  <c r="O306" i="1"/>
  <c r="O275" i="1"/>
  <c r="O307" i="1"/>
  <c r="O308" i="1"/>
  <c r="O309" i="1"/>
  <c r="O310" i="1"/>
  <c r="O311" i="1"/>
  <c r="O122" i="1"/>
  <c r="O430" i="1"/>
  <c r="O313" i="1"/>
  <c r="O314" i="1"/>
  <c r="O315" i="1"/>
  <c r="O316" i="1"/>
  <c r="O317" i="1"/>
  <c r="O318" i="1"/>
  <c r="O319" i="1"/>
  <c r="O320" i="1"/>
  <c r="O321" i="1"/>
  <c r="O322" i="1"/>
  <c r="O323" i="1"/>
  <c r="O324" i="1"/>
  <c r="O325" i="1"/>
  <c r="O326" i="1"/>
  <c r="O327" i="1"/>
  <c r="O328" i="1"/>
  <c r="O329" i="1"/>
  <c r="O330" i="1"/>
  <c r="O125" i="1"/>
  <c r="O431" i="1"/>
  <c r="O420" i="1"/>
  <c r="O421" i="1"/>
  <c r="O422" i="1"/>
  <c r="O423" i="1"/>
  <c r="O424" i="1"/>
  <c r="O425" i="1"/>
  <c r="O426" i="1"/>
  <c r="O427" i="1"/>
  <c r="O428" i="1"/>
  <c r="O429" i="1"/>
  <c r="O104" i="1"/>
  <c r="AR20" i="26"/>
  <c r="AX20" i="26"/>
  <c r="AQ20" i="26"/>
  <c r="AW20" i="26"/>
  <c r="O118" i="1"/>
  <c r="O97" i="1"/>
  <c r="O285" i="1"/>
  <c r="O286" i="1"/>
  <c r="O287" i="1"/>
  <c r="O288" i="1"/>
  <c r="O289" i="1"/>
  <c r="O290" i="1"/>
  <c r="O291" i="1"/>
  <c r="O292" i="1"/>
  <c r="O119" i="1"/>
  <c r="O417" i="1"/>
  <c r="O418" i="1"/>
  <c r="O407" i="1"/>
  <c r="O408" i="1"/>
  <c r="O409" i="1"/>
  <c r="O410" i="1"/>
  <c r="O411" i="1"/>
  <c r="O412" i="1"/>
  <c r="O413" i="1"/>
  <c r="O414" i="1"/>
  <c r="O415" i="1"/>
  <c r="O416" i="1"/>
  <c r="O98" i="1"/>
  <c r="AL20" i="26"/>
  <c r="AV20" i="26"/>
  <c r="AK20" i="26"/>
  <c r="AU20" i="26"/>
  <c r="N124" i="1"/>
  <c r="N121" i="1"/>
  <c r="N103" i="1"/>
  <c r="N294" i="1"/>
  <c r="N295" i="1"/>
  <c r="N296" i="1"/>
  <c r="N297" i="1"/>
  <c r="N298" i="1"/>
  <c r="N299" i="1"/>
  <c r="N300" i="1"/>
  <c r="N301" i="1"/>
  <c r="N302" i="1"/>
  <c r="N303" i="1"/>
  <c r="N304" i="1"/>
  <c r="N305" i="1"/>
  <c r="N306" i="1"/>
  <c r="N275" i="1"/>
  <c r="N307" i="1"/>
  <c r="N308" i="1"/>
  <c r="N309" i="1"/>
  <c r="N310" i="1"/>
  <c r="N311" i="1"/>
  <c r="N122" i="1"/>
  <c r="N430" i="1"/>
  <c r="N313" i="1"/>
  <c r="N314" i="1"/>
  <c r="N315" i="1"/>
  <c r="N316" i="1"/>
  <c r="N317" i="1"/>
  <c r="N318" i="1"/>
  <c r="N319" i="1"/>
  <c r="N320" i="1"/>
  <c r="N321" i="1"/>
  <c r="N322" i="1"/>
  <c r="N323" i="1"/>
  <c r="N324" i="1"/>
  <c r="N325" i="1"/>
  <c r="N326" i="1"/>
  <c r="N327" i="1"/>
  <c r="N328" i="1"/>
  <c r="N329" i="1"/>
  <c r="N330" i="1"/>
  <c r="N125" i="1"/>
  <c r="N431" i="1"/>
  <c r="N420" i="1"/>
  <c r="N421" i="1"/>
  <c r="N422" i="1"/>
  <c r="N423" i="1"/>
  <c r="N424" i="1"/>
  <c r="N425" i="1"/>
  <c r="N426" i="1"/>
  <c r="N427" i="1"/>
  <c r="N428" i="1"/>
  <c r="N429" i="1"/>
  <c r="N104" i="1"/>
  <c r="AR19" i="26"/>
  <c r="AX19" i="26"/>
  <c r="AQ19" i="26"/>
  <c r="AW19" i="26"/>
  <c r="N118" i="1"/>
  <c r="N97" i="1"/>
  <c r="N285" i="1"/>
  <c r="N286" i="1"/>
  <c r="N287" i="1"/>
  <c r="N288" i="1"/>
  <c r="N289" i="1"/>
  <c r="N290" i="1"/>
  <c r="N291" i="1"/>
  <c r="N292" i="1"/>
  <c r="N119" i="1"/>
  <c r="N417" i="1"/>
  <c r="N418" i="1"/>
  <c r="N407" i="1"/>
  <c r="N408" i="1"/>
  <c r="N409" i="1"/>
  <c r="N410" i="1"/>
  <c r="N411" i="1"/>
  <c r="N412" i="1"/>
  <c r="N413" i="1"/>
  <c r="N414" i="1"/>
  <c r="N415" i="1"/>
  <c r="N416" i="1"/>
  <c r="N98" i="1"/>
  <c r="AL19" i="26"/>
  <c r="AV19" i="26"/>
  <c r="AK19" i="26"/>
  <c r="AU19" i="26"/>
  <c r="M124" i="1"/>
  <c r="M121" i="1"/>
  <c r="M103" i="1"/>
  <c r="M294" i="1"/>
  <c r="M295" i="1"/>
  <c r="M296" i="1"/>
  <c r="M297" i="1"/>
  <c r="M298" i="1"/>
  <c r="M299" i="1"/>
  <c r="M300" i="1"/>
  <c r="M301" i="1"/>
  <c r="M302" i="1"/>
  <c r="M303" i="1"/>
  <c r="M304" i="1"/>
  <c r="M305" i="1"/>
  <c r="M306" i="1"/>
  <c r="M275" i="1"/>
  <c r="M307" i="1"/>
  <c r="M308" i="1"/>
  <c r="M309" i="1"/>
  <c r="M310" i="1"/>
  <c r="M311" i="1"/>
  <c r="M122" i="1"/>
  <c r="M430" i="1"/>
  <c r="M313" i="1"/>
  <c r="M314" i="1"/>
  <c r="M315" i="1"/>
  <c r="M316" i="1"/>
  <c r="M317" i="1"/>
  <c r="M318" i="1"/>
  <c r="M319" i="1"/>
  <c r="M320" i="1"/>
  <c r="M321" i="1"/>
  <c r="M322" i="1"/>
  <c r="M323" i="1"/>
  <c r="M324" i="1"/>
  <c r="M325" i="1"/>
  <c r="M326" i="1"/>
  <c r="M327" i="1"/>
  <c r="M328" i="1"/>
  <c r="M329" i="1"/>
  <c r="M330" i="1"/>
  <c r="M125" i="1"/>
  <c r="M431" i="1"/>
  <c r="M420" i="1"/>
  <c r="M421" i="1"/>
  <c r="M422" i="1"/>
  <c r="M423" i="1"/>
  <c r="M424" i="1"/>
  <c r="M425" i="1"/>
  <c r="M426" i="1"/>
  <c r="M427" i="1"/>
  <c r="M428" i="1"/>
  <c r="M429" i="1"/>
  <c r="M104" i="1"/>
  <c r="AR18" i="26"/>
  <c r="AX18" i="26"/>
  <c r="AQ18" i="26"/>
  <c r="AW18" i="26"/>
  <c r="M118" i="1"/>
  <c r="M97" i="1"/>
  <c r="M285" i="1"/>
  <c r="M286" i="1"/>
  <c r="M287" i="1"/>
  <c r="M288" i="1"/>
  <c r="M289" i="1"/>
  <c r="M290" i="1"/>
  <c r="M291" i="1"/>
  <c r="M292" i="1"/>
  <c r="M119" i="1"/>
  <c r="M417" i="1"/>
  <c r="M418" i="1"/>
  <c r="M407" i="1"/>
  <c r="M408" i="1"/>
  <c r="M409" i="1"/>
  <c r="M410" i="1"/>
  <c r="M411" i="1"/>
  <c r="M412" i="1"/>
  <c r="M413" i="1"/>
  <c r="M414" i="1"/>
  <c r="M415" i="1"/>
  <c r="M416" i="1"/>
  <c r="M98" i="1"/>
  <c r="AL18" i="26"/>
  <c r="AV18" i="26"/>
  <c r="AK18" i="26"/>
  <c r="AU18" i="26"/>
  <c r="L124" i="1"/>
  <c r="L121" i="1"/>
  <c r="L103" i="1"/>
  <c r="L294" i="1"/>
  <c r="L295" i="1"/>
  <c r="L296" i="1"/>
  <c r="L297" i="1"/>
  <c r="L298" i="1"/>
  <c r="L299" i="1"/>
  <c r="L300" i="1"/>
  <c r="L301" i="1"/>
  <c r="L302" i="1"/>
  <c r="L303" i="1"/>
  <c r="L304" i="1"/>
  <c r="L305" i="1"/>
  <c r="L306" i="1"/>
  <c r="L275" i="1"/>
  <c r="L307" i="1"/>
  <c r="L308" i="1"/>
  <c r="L309" i="1"/>
  <c r="L310" i="1"/>
  <c r="L311" i="1"/>
  <c r="L122" i="1"/>
  <c r="L430" i="1"/>
  <c r="L313" i="1"/>
  <c r="L314" i="1"/>
  <c r="L315" i="1"/>
  <c r="L316" i="1"/>
  <c r="L317" i="1"/>
  <c r="L318" i="1"/>
  <c r="L319" i="1"/>
  <c r="L320" i="1"/>
  <c r="L321" i="1"/>
  <c r="L322" i="1"/>
  <c r="L323" i="1"/>
  <c r="L324" i="1"/>
  <c r="L325" i="1"/>
  <c r="L326" i="1"/>
  <c r="L327" i="1"/>
  <c r="L328" i="1"/>
  <c r="L329" i="1"/>
  <c r="L330" i="1"/>
  <c r="L125" i="1"/>
  <c r="L431" i="1"/>
  <c r="L420" i="1"/>
  <c r="L421" i="1"/>
  <c r="L422" i="1"/>
  <c r="L423" i="1"/>
  <c r="L424" i="1"/>
  <c r="L425" i="1"/>
  <c r="L426" i="1"/>
  <c r="L427" i="1"/>
  <c r="L428" i="1"/>
  <c r="L429" i="1"/>
  <c r="L104" i="1"/>
  <c r="AR17" i="26"/>
  <c r="AX17" i="26"/>
  <c r="AQ17" i="26"/>
  <c r="AW17" i="26"/>
  <c r="L118" i="1"/>
  <c r="L97" i="1"/>
  <c r="L285" i="1"/>
  <c r="L286" i="1"/>
  <c r="L287" i="1"/>
  <c r="L288" i="1"/>
  <c r="L289" i="1"/>
  <c r="L290" i="1"/>
  <c r="L291" i="1"/>
  <c r="L292" i="1"/>
  <c r="L119" i="1"/>
  <c r="L417" i="1"/>
  <c r="L418" i="1"/>
  <c r="L407" i="1"/>
  <c r="L408" i="1"/>
  <c r="L409" i="1"/>
  <c r="L410" i="1"/>
  <c r="L411" i="1"/>
  <c r="L412" i="1"/>
  <c r="L413" i="1"/>
  <c r="L414" i="1"/>
  <c r="L415" i="1"/>
  <c r="L416" i="1"/>
  <c r="L98" i="1"/>
  <c r="AL17" i="26"/>
  <c r="AV17" i="26"/>
  <c r="AK17" i="26"/>
  <c r="AU17" i="26"/>
  <c r="K124" i="1"/>
  <c r="K121" i="1"/>
  <c r="K103" i="1"/>
  <c r="K294" i="1"/>
  <c r="K295" i="1"/>
  <c r="K296" i="1"/>
  <c r="K297" i="1"/>
  <c r="K298" i="1"/>
  <c r="K299" i="1"/>
  <c r="K300" i="1"/>
  <c r="K301" i="1"/>
  <c r="K302" i="1"/>
  <c r="K303" i="1"/>
  <c r="K304" i="1"/>
  <c r="K305" i="1"/>
  <c r="K306" i="1"/>
  <c r="K275" i="1"/>
  <c r="K307" i="1"/>
  <c r="K308" i="1"/>
  <c r="K309" i="1"/>
  <c r="K310" i="1"/>
  <c r="K311" i="1"/>
  <c r="K122" i="1"/>
  <c r="K430" i="1"/>
  <c r="K313" i="1"/>
  <c r="K314" i="1"/>
  <c r="K315" i="1"/>
  <c r="K316" i="1"/>
  <c r="K317" i="1"/>
  <c r="K318" i="1"/>
  <c r="K319" i="1"/>
  <c r="K320" i="1"/>
  <c r="K321" i="1"/>
  <c r="K322" i="1"/>
  <c r="K323" i="1"/>
  <c r="K324" i="1"/>
  <c r="K325" i="1"/>
  <c r="K326" i="1"/>
  <c r="K327" i="1"/>
  <c r="K328" i="1"/>
  <c r="K329" i="1"/>
  <c r="K330" i="1"/>
  <c r="K125" i="1"/>
  <c r="K431" i="1"/>
  <c r="K420" i="1"/>
  <c r="K421" i="1"/>
  <c r="K422" i="1"/>
  <c r="K423" i="1"/>
  <c r="K424" i="1"/>
  <c r="K425" i="1"/>
  <c r="K426" i="1"/>
  <c r="K427" i="1"/>
  <c r="K428" i="1"/>
  <c r="K429" i="1"/>
  <c r="K104" i="1"/>
  <c r="AR16" i="26"/>
  <c r="AX16" i="26"/>
  <c r="AQ16" i="26"/>
  <c r="AW16" i="26"/>
  <c r="K118" i="1"/>
  <c r="K97" i="1"/>
  <c r="K285" i="1"/>
  <c r="K286" i="1"/>
  <c r="K287" i="1"/>
  <c r="K288" i="1"/>
  <c r="K289" i="1"/>
  <c r="K290" i="1"/>
  <c r="K291" i="1"/>
  <c r="K292" i="1"/>
  <c r="K119" i="1"/>
  <c r="K417" i="1"/>
  <c r="K418" i="1"/>
  <c r="K407" i="1"/>
  <c r="K408" i="1"/>
  <c r="K409" i="1"/>
  <c r="K410" i="1"/>
  <c r="K411" i="1"/>
  <c r="K412" i="1"/>
  <c r="K413" i="1"/>
  <c r="K414" i="1"/>
  <c r="K415" i="1"/>
  <c r="K416" i="1"/>
  <c r="K98" i="1"/>
  <c r="AL16" i="26"/>
  <c r="AV16" i="26"/>
  <c r="AK16" i="26"/>
  <c r="AU16" i="26"/>
  <c r="J124" i="1"/>
  <c r="J121" i="1"/>
  <c r="J103" i="1"/>
  <c r="J294" i="1"/>
  <c r="J295" i="1"/>
  <c r="J296" i="1"/>
  <c r="J297" i="1"/>
  <c r="J298" i="1"/>
  <c r="J299" i="1"/>
  <c r="J300" i="1"/>
  <c r="J301" i="1"/>
  <c r="J302" i="1"/>
  <c r="J303" i="1"/>
  <c r="J304" i="1"/>
  <c r="J305" i="1"/>
  <c r="J306" i="1"/>
  <c r="J275" i="1"/>
  <c r="J307" i="1"/>
  <c r="J308" i="1"/>
  <c r="J309" i="1"/>
  <c r="J310" i="1"/>
  <c r="J311" i="1"/>
  <c r="J122" i="1"/>
  <c r="J430" i="1"/>
  <c r="J313" i="1"/>
  <c r="J314" i="1"/>
  <c r="J315" i="1"/>
  <c r="J316" i="1"/>
  <c r="J317" i="1"/>
  <c r="J318" i="1"/>
  <c r="J319" i="1"/>
  <c r="J320" i="1"/>
  <c r="J321" i="1"/>
  <c r="J322" i="1"/>
  <c r="J323" i="1"/>
  <c r="J324" i="1"/>
  <c r="J325" i="1"/>
  <c r="J326" i="1"/>
  <c r="J327" i="1"/>
  <c r="J328" i="1"/>
  <c r="J329" i="1"/>
  <c r="J330" i="1"/>
  <c r="J125" i="1"/>
  <c r="J431" i="1"/>
  <c r="J420" i="1"/>
  <c r="J421" i="1"/>
  <c r="J422" i="1"/>
  <c r="J423" i="1"/>
  <c r="J424" i="1"/>
  <c r="J425" i="1"/>
  <c r="J426" i="1"/>
  <c r="J427" i="1"/>
  <c r="J428" i="1"/>
  <c r="J429" i="1"/>
  <c r="J104" i="1"/>
  <c r="AR15" i="26"/>
  <c r="AX15" i="26"/>
  <c r="AQ15" i="26"/>
  <c r="AW15" i="26"/>
  <c r="J118" i="1"/>
  <c r="J97" i="1"/>
  <c r="J285" i="1"/>
  <c r="J286" i="1"/>
  <c r="J287" i="1"/>
  <c r="J288" i="1"/>
  <c r="J289" i="1"/>
  <c r="J290" i="1"/>
  <c r="J291" i="1"/>
  <c r="J292" i="1"/>
  <c r="J119" i="1"/>
  <c r="J417" i="1"/>
  <c r="J418" i="1"/>
  <c r="J407" i="1"/>
  <c r="J408" i="1"/>
  <c r="J409" i="1"/>
  <c r="J410" i="1"/>
  <c r="J411" i="1"/>
  <c r="J412" i="1"/>
  <c r="J413" i="1"/>
  <c r="J414" i="1"/>
  <c r="J415" i="1"/>
  <c r="J416" i="1"/>
  <c r="J98" i="1"/>
  <c r="AL15" i="26"/>
  <c r="AV15" i="26"/>
  <c r="AK15" i="26"/>
  <c r="AU15" i="26"/>
  <c r="I124" i="1"/>
  <c r="I121" i="1"/>
  <c r="I103" i="1"/>
  <c r="I294" i="1"/>
  <c r="I295" i="1"/>
  <c r="I296" i="1"/>
  <c r="I297" i="1"/>
  <c r="I298" i="1"/>
  <c r="I299" i="1"/>
  <c r="I300" i="1"/>
  <c r="I301" i="1"/>
  <c r="I302" i="1"/>
  <c r="I303" i="1"/>
  <c r="I304" i="1"/>
  <c r="I305" i="1"/>
  <c r="I306" i="1"/>
  <c r="I275" i="1"/>
  <c r="I307" i="1"/>
  <c r="I308" i="1"/>
  <c r="I309" i="1"/>
  <c r="I310" i="1"/>
  <c r="I311" i="1"/>
  <c r="I122" i="1"/>
  <c r="I430" i="1"/>
  <c r="I313" i="1"/>
  <c r="I314" i="1"/>
  <c r="I315" i="1"/>
  <c r="I316" i="1"/>
  <c r="I317" i="1"/>
  <c r="I318" i="1"/>
  <c r="I319" i="1"/>
  <c r="I320" i="1"/>
  <c r="I321" i="1"/>
  <c r="I322" i="1"/>
  <c r="I323" i="1"/>
  <c r="I324" i="1"/>
  <c r="I325" i="1"/>
  <c r="I326" i="1"/>
  <c r="I327" i="1"/>
  <c r="I328" i="1"/>
  <c r="I329" i="1"/>
  <c r="I330" i="1"/>
  <c r="I125" i="1"/>
  <c r="I431" i="1"/>
  <c r="I420" i="1"/>
  <c r="I421" i="1"/>
  <c r="I422" i="1"/>
  <c r="I423" i="1"/>
  <c r="I424" i="1"/>
  <c r="I425" i="1"/>
  <c r="I426" i="1"/>
  <c r="I427" i="1"/>
  <c r="I428" i="1"/>
  <c r="I429" i="1"/>
  <c r="I104" i="1"/>
  <c r="AR14" i="26"/>
  <c r="AX14" i="26"/>
  <c r="AQ14" i="26"/>
  <c r="AW14" i="26"/>
  <c r="I118" i="1"/>
  <c r="I97" i="1"/>
  <c r="I285" i="1"/>
  <c r="I286" i="1"/>
  <c r="I287" i="1"/>
  <c r="I288" i="1"/>
  <c r="I289" i="1"/>
  <c r="I290" i="1"/>
  <c r="I291" i="1"/>
  <c r="I292" i="1"/>
  <c r="I119" i="1"/>
  <c r="I417" i="1"/>
  <c r="I418" i="1"/>
  <c r="I407" i="1"/>
  <c r="I408" i="1"/>
  <c r="I409" i="1"/>
  <c r="I410" i="1"/>
  <c r="I411" i="1"/>
  <c r="I412" i="1"/>
  <c r="I413" i="1"/>
  <c r="I414" i="1"/>
  <c r="I415" i="1"/>
  <c r="I416" i="1"/>
  <c r="I98" i="1"/>
  <c r="AL14" i="26"/>
  <c r="AV14" i="26"/>
  <c r="AK14" i="26"/>
  <c r="AU14" i="26"/>
  <c r="H124" i="1"/>
  <c r="H121" i="1"/>
  <c r="H103" i="1"/>
  <c r="H294" i="1"/>
  <c r="H295" i="1"/>
  <c r="H296" i="1"/>
  <c r="H297" i="1"/>
  <c r="H298" i="1"/>
  <c r="H299" i="1"/>
  <c r="H300" i="1"/>
  <c r="H301" i="1"/>
  <c r="H302" i="1"/>
  <c r="H303" i="1"/>
  <c r="H304" i="1"/>
  <c r="H305" i="1"/>
  <c r="H306" i="1"/>
  <c r="H275" i="1"/>
  <c r="H307" i="1"/>
  <c r="H308" i="1"/>
  <c r="H309" i="1"/>
  <c r="H310" i="1"/>
  <c r="H311" i="1"/>
  <c r="H122" i="1"/>
  <c r="H430" i="1"/>
  <c r="H313" i="1"/>
  <c r="H314" i="1"/>
  <c r="H315" i="1"/>
  <c r="H316" i="1"/>
  <c r="H317" i="1"/>
  <c r="H318" i="1"/>
  <c r="H319" i="1"/>
  <c r="H320" i="1"/>
  <c r="H321" i="1"/>
  <c r="H322" i="1"/>
  <c r="H323" i="1"/>
  <c r="H324" i="1"/>
  <c r="H325" i="1"/>
  <c r="H326" i="1"/>
  <c r="H327" i="1"/>
  <c r="H328" i="1"/>
  <c r="H329" i="1"/>
  <c r="H330" i="1"/>
  <c r="H125" i="1"/>
  <c r="H431" i="1"/>
  <c r="H420" i="1"/>
  <c r="H421" i="1"/>
  <c r="H422" i="1"/>
  <c r="H423" i="1"/>
  <c r="H424" i="1"/>
  <c r="H425" i="1"/>
  <c r="H426" i="1"/>
  <c r="H427" i="1"/>
  <c r="H428" i="1"/>
  <c r="H429" i="1"/>
  <c r="H104" i="1"/>
  <c r="AR13" i="26"/>
  <c r="AX13" i="26"/>
  <c r="AQ13" i="26"/>
  <c r="AW13" i="26"/>
  <c r="H118" i="1"/>
  <c r="H97" i="1"/>
  <c r="H285" i="1"/>
  <c r="H286" i="1"/>
  <c r="H287" i="1"/>
  <c r="H288" i="1"/>
  <c r="H289" i="1"/>
  <c r="H290" i="1"/>
  <c r="H291" i="1"/>
  <c r="H292" i="1"/>
  <c r="H119" i="1"/>
  <c r="H417" i="1"/>
  <c r="H418" i="1"/>
  <c r="H407" i="1"/>
  <c r="H408" i="1"/>
  <c r="H409" i="1"/>
  <c r="H410" i="1"/>
  <c r="H411" i="1"/>
  <c r="H412" i="1"/>
  <c r="H413" i="1"/>
  <c r="H414" i="1"/>
  <c r="H415" i="1"/>
  <c r="H416" i="1"/>
  <c r="H98" i="1"/>
  <c r="AL13" i="26"/>
  <c r="AV13" i="26"/>
  <c r="AK13" i="26"/>
  <c r="AU13" i="26"/>
  <c r="G124" i="1"/>
  <c r="G121" i="1"/>
  <c r="G103" i="1"/>
  <c r="G294" i="1"/>
  <c r="G295" i="1"/>
  <c r="G296" i="1"/>
  <c r="G297" i="1"/>
  <c r="G298" i="1"/>
  <c r="G299" i="1"/>
  <c r="G300" i="1"/>
  <c r="G301" i="1"/>
  <c r="G302" i="1"/>
  <c r="G303" i="1"/>
  <c r="G304" i="1"/>
  <c r="G305" i="1"/>
  <c r="G306" i="1"/>
  <c r="G275" i="1"/>
  <c r="G307" i="1"/>
  <c r="G308" i="1"/>
  <c r="G309" i="1"/>
  <c r="G310" i="1"/>
  <c r="G311" i="1"/>
  <c r="G122" i="1"/>
  <c r="G430" i="1"/>
  <c r="G313" i="1"/>
  <c r="G314" i="1"/>
  <c r="G315" i="1"/>
  <c r="G316" i="1"/>
  <c r="G317" i="1"/>
  <c r="G318" i="1"/>
  <c r="G319" i="1"/>
  <c r="G320" i="1"/>
  <c r="G321" i="1"/>
  <c r="G322" i="1"/>
  <c r="G323" i="1"/>
  <c r="G324" i="1"/>
  <c r="G325" i="1"/>
  <c r="G326" i="1"/>
  <c r="G327" i="1"/>
  <c r="G328" i="1"/>
  <c r="G329" i="1"/>
  <c r="G330" i="1"/>
  <c r="G125" i="1"/>
  <c r="G431" i="1"/>
  <c r="G420" i="1"/>
  <c r="G421" i="1"/>
  <c r="G422" i="1"/>
  <c r="G423" i="1"/>
  <c r="G424" i="1"/>
  <c r="G425" i="1"/>
  <c r="G426" i="1"/>
  <c r="G427" i="1"/>
  <c r="G428" i="1"/>
  <c r="G429" i="1"/>
  <c r="G104" i="1"/>
  <c r="AR12" i="26"/>
  <c r="AX12" i="26"/>
  <c r="AQ12" i="26"/>
  <c r="AW12" i="26"/>
  <c r="G118" i="1"/>
  <c r="G97" i="1"/>
  <c r="G285" i="1"/>
  <c r="G286" i="1"/>
  <c r="G287" i="1"/>
  <c r="G288" i="1"/>
  <c r="G289" i="1"/>
  <c r="G290" i="1"/>
  <c r="G291" i="1"/>
  <c r="G292" i="1"/>
  <c r="G119" i="1"/>
  <c r="G417" i="1"/>
  <c r="G418" i="1"/>
  <c r="G407" i="1"/>
  <c r="G408" i="1"/>
  <c r="G409" i="1"/>
  <c r="G410" i="1"/>
  <c r="G411" i="1"/>
  <c r="G412" i="1"/>
  <c r="G413" i="1"/>
  <c r="G414" i="1"/>
  <c r="G415" i="1"/>
  <c r="G416" i="1"/>
  <c r="G98" i="1"/>
  <c r="AL12" i="26"/>
  <c r="AV12" i="26"/>
  <c r="AK12" i="26"/>
  <c r="AU12" i="26"/>
  <c r="F124" i="1"/>
  <c r="F121" i="1"/>
  <c r="F103" i="1"/>
  <c r="F294" i="1"/>
  <c r="F295" i="1"/>
  <c r="F296" i="1"/>
  <c r="F297" i="1"/>
  <c r="F298" i="1"/>
  <c r="F299" i="1"/>
  <c r="F300" i="1"/>
  <c r="F301" i="1"/>
  <c r="F302" i="1"/>
  <c r="F303" i="1"/>
  <c r="F304" i="1"/>
  <c r="F305" i="1"/>
  <c r="F306" i="1"/>
  <c r="F275" i="1"/>
  <c r="F307" i="1"/>
  <c r="F308" i="1"/>
  <c r="F309" i="1"/>
  <c r="F310" i="1"/>
  <c r="F311" i="1"/>
  <c r="F122" i="1"/>
  <c r="F430" i="1"/>
  <c r="F313" i="1"/>
  <c r="F314" i="1"/>
  <c r="F315" i="1"/>
  <c r="F316" i="1"/>
  <c r="F317" i="1"/>
  <c r="F318" i="1"/>
  <c r="F319" i="1"/>
  <c r="F320" i="1"/>
  <c r="F321" i="1"/>
  <c r="F322" i="1"/>
  <c r="F323" i="1"/>
  <c r="F324" i="1"/>
  <c r="F325" i="1"/>
  <c r="F326" i="1"/>
  <c r="F327" i="1"/>
  <c r="F328" i="1"/>
  <c r="F329" i="1"/>
  <c r="F330" i="1"/>
  <c r="F125" i="1"/>
  <c r="F431" i="1"/>
  <c r="F420" i="1"/>
  <c r="F421" i="1"/>
  <c r="F422" i="1"/>
  <c r="F423" i="1"/>
  <c r="F424" i="1"/>
  <c r="F425" i="1"/>
  <c r="F426" i="1"/>
  <c r="F427" i="1"/>
  <c r="F428" i="1"/>
  <c r="F429" i="1"/>
  <c r="F104" i="1"/>
  <c r="AR11" i="26"/>
  <c r="AX11" i="26"/>
  <c r="AQ11" i="26"/>
  <c r="AW11" i="26"/>
  <c r="F118" i="1"/>
  <c r="F97" i="1"/>
  <c r="F285" i="1"/>
  <c r="F286" i="1"/>
  <c r="F287" i="1"/>
  <c r="F288" i="1"/>
  <c r="F289" i="1"/>
  <c r="F290" i="1"/>
  <c r="F291" i="1"/>
  <c r="F292" i="1"/>
  <c r="F119" i="1"/>
  <c r="F417" i="1"/>
  <c r="F418" i="1"/>
  <c r="F407" i="1"/>
  <c r="F408" i="1"/>
  <c r="F409" i="1"/>
  <c r="F410" i="1"/>
  <c r="F411" i="1"/>
  <c r="F412" i="1"/>
  <c r="F413" i="1"/>
  <c r="F414" i="1"/>
  <c r="F415" i="1"/>
  <c r="F416" i="1"/>
  <c r="F98" i="1"/>
  <c r="AL11" i="26"/>
  <c r="AV11" i="26"/>
  <c r="AK11" i="26"/>
  <c r="AU11" i="26"/>
  <c r="E124" i="1"/>
  <c r="E121" i="1"/>
  <c r="E103" i="1"/>
  <c r="E294" i="1"/>
  <c r="E295" i="1"/>
  <c r="E296" i="1"/>
  <c r="E297" i="1"/>
  <c r="E298" i="1"/>
  <c r="E299" i="1"/>
  <c r="E300" i="1"/>
  <c r="E301" i="1"/>
  <c r="E302" i="1"/>
  <c r="E303" i="1"/>
  <c r="E304" i="1"/>
  <c r="E305" i="1"/>
  <c r="E306" i="1"/>
  <c r="E275" i="1"/>
  <c r="E307" i="1"/>
  <c r="E308" i="1"/>
  <c r="E309" i="1"/>
  <c r="E310" i="1"/>
  <c r="E311" i="1"/>
  <c r="E122" i="1"/>
  <c r="E430" i="1"/>
  <c r="E313" i="1"/>
  <c r="E314" i="1"/>
  <c r="E315" i="1"/>
  <c r="E316" i="1"/>
  <c r="E317" i="1"/>
  <c r="E318" i="1"/>
  <c r="E319" i="1"/>
  <c r="E320" i="1"/>
  <c r="E321" i="1"/>
  <c r="E322" i="1"/>
  <c r="E323" i="1"/>
  <c r="E324" i="1"/>
  <c r="E325" i="1"/>
  <c r="E326" i="1"/>
  <c r="E327" i="1"/>
  <c r="E328" i="1"/>
  <c r="E329" i="1"/>
  <c r="E330" i="1"/>
  <c r="E125" i="1"/>
  <c r="E431" i="1"/>
  <c r="E420" i="1"/>
  <c r="E421" i="1"/>
  <c r="E422" i="1"/>
  <c r="E423" i="1"/>
  <c r="E424" i="1"/>
  <c r="E425" i="1"/>
  <c r="E426" i="1"/>
  <c r="E427" i="1"/>
  <c r="E428" i="1"/>
  <c r="E429" i="1"/>
  <c r="E104" i="1"/>
  <c r="AR10" i="26"/>
  <c r="AX10" i="26"/>
  <c r="AQ10" i="26"/>
  <c r="AW10" i="26"/>
  <c r="E118" i="1"/>
  <c r="E97" i="1"/>
  <c r="E285" i="1"/>
  <c r="E286" i="1"/>
  <c r="E287" i="1"/>
  <c r="E288" i="1"/>
  <c r="E289" i="1"/>
  <c r="E290" i="1"/>
  <c r="E291" i="1"/>
  <c r="E292" i="1"/>
  <c r="E119" i="1"/>
  <c r="E417" i="1"/>
  <c r="E418" i="1"/>
  <c r="E407" i="1"/>
  <c r="E408" i="1"/>
  <c r="E409" i="1"/>
  <c r="E410" i="1"/>
  <c r="E411" i="1"/>
  <c r="E412" i="1"/>
  <c r="E413" i="1"/>
  <c r="E414" i="1"/>
  <c r="E415" i="1"/>
  <c r="E416" i="1"/>
  <c r="E98" i="1"/>
  <c r="AL10" i="26"/>
  <c r="AV10" i="26"/>
  <c r="AK10" i="26"/>
  <c r="AU10" i="26"/>
  <c r="D124" i="1"/>
  <c r="D121" i="1"/>
  <c r="D103" i="1"/>
  <c r="D294" i="1"/>
  <c r="D295" i="1"/>
  <c r="D296" i="1"/>
  <c r="D297" i="1"/>
  <c r="D298" i="1"/>
  <c r="D299" i="1"/>
  <c r="D300" i="1"/>
  <c r="D301" i="1"/>
  <c r="D302" i="1"/>
  <c r="D303" i="1"/>
  <c r="D304" i="1"/>
  <c r="D305" i="1"/>
  <c r="D306" i="1"/>
  <c r="D275" i="1"/>
  <c r="D307" i="1"/>
  <c r="D308" i="1"/>
  <c r="D309" i="1"/>
  <c r="D310" i="1"/>
  <c r="D311" i="1"/>
  <c r="D122" i="1"/>
  <c r="D430" i="1"/>
  <c r="D313" i="1"/>
  <c r="D314" i="1"/>
  <c r="D315" i="1"/>
  <c r="D316" i="1"/>
  <c r="D317" i="1"/>
  <c r="D318" i="1"/>
  <c r="D319" i="1"/>
  <c r="D320" i="1"/>
  <c r="D321" i="1"/>
  <c r="D322" i="1"/>
  <c r="D323" i="1"/>
  <c r="D324" i="1"/>
  <c r="D325" i="1"/>
  <c r="D326" i="1"/>
  <c r="D327" i="1"/>
  <c r="D328" i="1"/>
  <c r="D329" i="1"/>
  <c r="D330" i="1"/>
  <c r="D125" i="1"/>
  <c r="D431" i="1"/>
  <c r="D420" i="1"/>
  <c r="D421" i="1"/>
  <c r="D422" i="1"/>
  <c r="D423" i="1"/>
  <c r="D424" i="1"/>
  <c r="D425" i="1"/>
  <c r="D426" i="1"/>
  <c r="D427" i="1"/>
  <c r="D428" i="1"/>
  <c r="D429" i="1"/>
  <c r="D104" i="1"/>
  <c r="AR9" i="26"/>
  <c r="AX9" i="26"/>
  <c r="AQ9" i="26"/>
  <c r="AW9" i="26"/>
  <c r="D118" i="1"/>
  <c r="D97" i="1"/>
  <c r="D285" i="1"/>
  <c r="D286" i="1"/>
  <c r="D287" i="1"/>
  <c r="D288" i="1"/>
  <c r="D289" i="1"/>
  <c r="D290" i="1"/>
  <c r="D291" i="1"/>
  <c r="D292" i="1"/>
  <c r="D119" i="1"/>
  <c r="D417" i="1"/>
  <c r="D418" i="1"/>
  <c r="D407" i="1"/>
  <c r="D408" i="1"/>
  <c r="D409" i="1"/>
  <c r="D410" i="1"/>
  <c r="D411" i="1"/>
  <c r="D412" i="1"/>
  <c r="D413" i="1"/>
  <c r="D414" i="1"/>
  <c r="D415" i="1"/>
  <c r="D416" i="1"/>
  <c r="D98" i="1"/>
  <c r="AL9" i="26"/>
  <c r="AV9" i="26"/>
  <c r="AK9" i="26"/>
  <c r="AU9" i="26"/>
  <c r="C124" i="1"/>
  <c r="C121" i="1"/>
  <c r="C103" i="1"/>
  <c r="C294" i="1"/>
  <c r="C295" i="1"/>
  <c r="C296" i="1"/>
  <c r="C297" i="1"/>
  <c r="C298" i="1"/>
  <c r="C299" i="1"/>
  <c r="C300" i="1"/>
  <c r="C301" i="1"/>
  <c r="C302" i="1"/>
  <c r="C303" i="1"/>
  <c r="C304" i="1"/>
  <c r="C305" i="1"/>
  <c r="C306" i="1"/>
  <c r="C275" i="1"/>
  <c r="C307" i="1"/>
  <c r="C308" i="1"/>
  <c r="C309" i="1"/>
  <c r="C310" i="1"/>
  <c r="C311" i="1"/>
  <c r="C122" i="1"/>
  <c r="C430" i="1"/>
  <c r="C313" i="1"/>
  <c r="C314" i="1"/>
  <c r="C315" i="1"/>
  <c r="C316" i="1"/>
  <c r="C317" i="1"/>
  <c r="C318" i="1"/>
  <c r="C319" i="1"/>
  <c r="C320" i="1"/>
  <c r="C321" i="1"/>
  <c r="C322" i="1"/>
  <c r="C323" i="1"/>
  <c r="C324" i="1"/>
  <c r="C325" i="1"/>
  <c r="C326" i="1"/>
  <c r="C327" i="1"/>
  <c r="C328" i="1"/>
  <c r="C329" i="1"/>
  <c r="C330" i="1"/>
  <c r="C125" i="1"/>
  <c r="C431" i="1"/>
  <c r="C420" i="1"/>
  <c r="C421" i="1"/>
  <c r="C422" i="1"/>
  <c r="C423" i="1"/>
  <c r="C424" i="1"/>
  <c r="C425" i="1"/>
  <c r="C426" i="1"/>
  <c r="C427" i="1"/>
  <c r="C428" i="1"/>
  <c r="C429" i="1"/>
  <c r="C104" i="1"/>
  <c r="AR8" i="26"/>
  <c r="AX8" i="26"/>
  <c r="AQ8" i="26"/>
  <c r="AW8" i="26"/>
  <c r="C118" i="1"/>
  <c r="C97" i="1"/>
  <c r="C285" i="1"/>
  <c r="C286" i="1"/>
  <c r="C287" i="1"/>
  <c r="C288" i="1"/>
  <c r="C289" i="1"/>
  <c r="C290" i="1"/>
  <c r="C291" i="1"/>
  <c r="C292" i="1"/>
  <c r="C119" i="1"/>
  <c r="C417" i="1"/>
  <c r="C418" i="1"/>
  <c r="C407" i="1"/>
  <c r="C408" i="1"/>
  <c r="C409" i="1"/>
  <c r="C410" i="1"/>
  <c r="C411" i="1"/>
  <c r="C412" i="1"/>
  <c r="C413" i="1"/>
  <c r="C414" i="1"/>
  <c r="C415" i="1"/>
  <c r="C416" i="1"/>
  <c r="C98" i="1"/>
  <c r="AL8" i="26"/>
  <c r="AV8" i="26"/>
  <c r="AK8" i="26"/>
  <c r="AU8" i="26"/>
  <c r="AF111" i="1"/>
  <c r="AF443" i="1"/>
  <c r="AF444" i="1"/>
  <c r="AF433" i="1"/>
  <c r="AF434" i="1"/>
  <c r="AF435" i="1"/>
  <c r="AF436" i="1"/>
  <c r="AF437" i="1"/>
  <c r="AF438" i="1"/>
  <c r="AF439" i="1"/>
  <c r="AF440" i="1"/>
  <c r="AF441" i="1"/>
  <c r="AF442" i="1"/>
  <c r="AF110" i="1"/>
  <c r="AF116" i="1"/>
  <c r="AY37" i="26"/>
  <c r="AE111" i="1"/>
  <c r="AE443" i="1"/>
  <c r="AE444" i="1"/>
  <c r="AE433" i="1"/>
  <c r="AE434" i="1"/>
  <c r="AE435" i="1"/>
  <c r="AE436" i="1"/>
  <c r="AE437" i="1"/>
  <c r="AE438" i="1"/>
  <c r="AE439" i="1"/>
  <c r="AE440" i="1"/>
  <c r="AE441" i="1"/>
  <c r="AE442" i="1"/>
  <c r="AE110" i="1"/>
  <c r="AE116" i="1"/>
  <c r="AY36" i="26"/>
  <c r="AD111" i="1"/>
  <c r="AD443" i="1"/>
  <c r="AD444" i="1"/>
  <c r="AD433" i="1"/>
  <c r="AD434" i="1"/>
  <c r="AD435" i="1"/>
  <c r="AD436" i="1"/>
  <c r="AD437" i="1"/>
  <c r="AD438" i="1"/>
  <c r="AD439" i="1"/>
  <c r="AD440" i="1"/>
  <c r="AD441" i="1"/>
  <c r="AD442" i="1"/>
  <c r="AD110" i="1"/>
  <c r="AD116" i="1"/>
  <c r="AY35" i="26"/>
  <c r="AC111" i="1"/>
  <c r="AC443" i="1"/>
  <c r="AC444" i="1"/>
  <c r="AC433" i="1"/>
  <c r="AC434" i="1"/>
  <c r="AC435" i="1"/>
  <c r="AC436" i="1"/>
  <c r="AC437" i="1"/>
  <c r="AC438" i="1"/>
  <c r="AC439" i="1"/>
  <c r="AC440" i="1"/>
  <c r="AC441" i="1"/>
  <c r="AC442" i="1"/>
  <c r="AC110" i="1"/>
  <c r="AC116" i="1"/>
  <c r="AY34" i="26"/>
  <c r="AB111" i="1"/>
  <c r="AB443" i="1"/>
  <c r="AB444" i="1"/>
  <c r="AB433" i="1"/>
  <c r="AB434" i="1"/>
  <c r="AB435" i="1"/>
  <c r="AB436" i="1"/>
  <c r="AB437" i="1"/>
  <c r="AB438" i="1"/>
  <c r="AB439" i="1"/>
  <c r="AB440" i="1"/>
  <c r="AB441" i="1"/>
  <c r="AB442" i="1"/>
  <c r="AB110" i="1"/>
  <c r="AB116" i="1"/>
  <c r="AY33" i="26"/>
  <c r="AA111" i="1"/>
  <c r="AA443" i="1"/>
  <c r="AA444" i="1"/>
  <c r="AA433" i="1"/>
  <c r="AA434" i="1"/>
  <c r="AA435" i="1"/>
  <c r="AA436" i="1"/>
  <c r="AA437" i="1"/>
  <c r="AA438" i="1"/>
  <c r="AA439" i="1"/>
  <c r="AA440" i="1"/>
  <c r="AA441" i="1"/>
  <c r="AA442" i="1"/>
  <c r="AA110" i="1"/>
  <c r="AA116" i="1"/>
  <c r="AY32" i="26"/>
  <c r="Z111" i="1"/>
  <c r="Z443" i="1"/>
  <c r="Z444" i="1"/>
  <c r="Z433" i="1"/>
  <c r="Z434" i="1"/>
  <c r="Z435" i="1"/>
  <c r="Z436" i="1"/>
  <c r="Z437" i="1"/>
  <c r="Z438" i="1"/>
  <c r="Z439" i="1"/>
  <c r="Z440" i="1"/>
  <c r="Z441" i="1"/>
  <c r="Z442" i="1"/>
  <c r="Z110" i="1"/>
  <c r="Z116" i="1"/>
  <c r="AY31" i="26"/>
  <c r="Y111" i="1"/>
  <c r="Y443" i="1"/>
  <c r="Y444" i="1"/>
  <c r="Y433" i="1"/>
  <c r="Y434" i="1"/>
  <c r="Y435" i="1"/>
  <c r="Y436" i="1"/>
  <c r="Y437" i="1"/>
  <c r="Y438" i="1"/>
  <c r="Y439" i="1"/>
  <c r="Y440" i="1"/>
  <c r="Y441" i="1"/>
  <c r="Y442" i="1"/>
  <c r="Y110" i="1"/>
  <c r="Y116" i="1"/>
  <c r="AY30" i="26"/>
  <c r="X111" i="1"/>
  <c r="X443" i="1"/>
  <c r="X444" i="1"/>
  <c r="X433" i="1"/>
  <c r="X434" i="1"/>
  <c r="X435" i="1"/>
  <c r="X436" i="1"/>
  <c r="X437" i="1"/>
  <c r="X438" i="1"/>
  <c r="X439" i="1"/>
  <c r="X440" i="1"/>
  <c r="X441" i="1"/>
  <c r="X442" i="1"/>
  <c r="X110" i="1"/>
  <c r="X116" i="1"/>
  <c r="AY29" i="26"/>
  <c r="W111" i="1"/>
  <c r="W443" i="1"/>
  <c r="W444" i="1"/>
  <c r="W433" i="1"/>
  <c r="W434" i="1"/>
  <c r="W435" i="1"/>
  <c r="W436" i="1"/>
  <c r="W437" i="1"/>
  <c r="W438" i="1"/>
  <c r="W439" i="1"/>
  <c r="W440" i="1"/>
  <c r="W441" i="1"/>
  <c r="W442" i="1"/>
  <c r="W110" i="1"/>
  <c r="W116" i="1"/>
  <c r="AY28" i="26"/>
  <c r="V111" i="1"/>
  <c r="V443" i="1"/>
  <c r="V444" i="1"/>
  <c r="V433" i="1"/>
  <c r="V434" i="1"/>
  <c r="V435" i="1"/>
  <c r="V436" i="1"/>
  <c r="V437" i="1"/>
  <c r="V438" i="1"/>
  <c r="V439" i="1"/>
  <c r="V440" i="1"/>
  <c r="V441" i="1"/>
  <c r="V442" i="1"/>
  <c r="V110" i="1"/>
  <c r="V116" i="1"/>
  <c r="AY27" i="26"/>
  <c r="U111" i="1"/>
  <c r="U443" i="1"/>
  <c r="U444" i="1"/>
  <c r="U433" i="1"/>
  <c r="U434" i="1"/>
  <c r="U435" i="1"/>
  <c r="U436" i="1"/>
  <c r="U437" i="1"/>
  <c r="U438" i="1"/>
  <c r="U439" i="1"/>
  <c r="U440" i="1"/>
  <c r="U441" i="1"/>
  <c r="U442" i="1"/>
  <c r="U110" i="1"/>
  <c r="U116" i="1"/>
  <c r="AY26" i="26"/>
  <c r="T111" i="1"/>
  <c r="T443" i="1"/>
  <c r="T444" i="1"/>
  <c r="T433" i="1"/>
  <c r="T434" i="1"/>
  <c r="T435" i="1"/>
  <c r="T436" i="1"/>
  <c r="T437" i="1"/>
  <c r="T438" i="1"/>
  <c r="T439" i="1"/>
  <c r="T440" i="1"/>
  <c r="T441" i="1"/>
  <c r="T442" i="1"/>
  <c r="T110" i="1"/>
  <c r="T116" i="1"/>
  <c r="AY25" i="26"/>
  <c r="S111" i="1"/>
  <c r="S443" i="1"/>
  <c r="S444" i="1"/>
  <c r="S433" i="1"/>
  <c r="S434" i="1"/>
  <c r="S435" i="1"/>
  <c r="S436" i="1"/>
  <c r="S437" i="1"/>
  <c r="S438" i="1"/>
  <c r="S439" i="1"/>
  <c r="S440" i="1"/>
  <c r="S441" i="1"/>
  <c r="S442" i="1"/>
  <c r="S110" i="1"/>
  <c r="S116" i="1"/>
  <c r="AY24" i="26"/>
  <c r="R111" i="1"/>
  <c r="R443" i="1"/>
  <c r="R444" i="1"/>
  <c r="R433" i="1"/>
  <c r="R434" i="1"/>
  <c r="R435" i="1"/>
  <c r="R436" i="1"/>
  <c r="R437" i="1"/>
  <c r="R438" i="1"/>
  <c r="R439" i="1"/>
  <c r="R440" i="1"/>
  <c r="R441" i="1"/>
  <c r="R442" i="1"/>
  <c r="R110" i="1"/>
  <c r="R116" i="1"/>
  <c r="AY23" i="26"/>
  <c r="Q111" i="1"/>
  <c r="Q443" i="1"/>
  <c r="Q444" i="1"/>
  <c r="Q433" i="1"/>
  <c r="Q434" i="1"/>
  <c r="Q435" i="1"/>
  <c r="Q436" i="1"/>
  <c r="Q437" i="1"/>
  <c r="Q438" i="1"/>
  <c r="Q439" i="1"/>
  <c r="Q440" i="1"/>
  <c r="Q441" i="1"/>
  <c r="Q442" i="1"/>
  <c r="Q110" i="1"/>
  <c r="Q116" i="1"/>
  <c r="AY22" i="26"/>
  <c r="P111" i="1"/>
  <c r="P443" i="1"/>
  <c r="P444" i="1"/>
  <c r="P433" i="1"/>
  <c r="P434" i="1"/>
  <c r="P435" i="1"/>
  <c r="P436" i="1"/>
  <c r="P437" i="1"/>
  <c r="P438" i="1"/>
  <c r="P439" i="1"/>
  <c r="P440" i="1"/>
  <c r="P441" i="1"/>
  <c r="P442" i="1"/>
  <c r="P110" i="1"/>
  <c r="P116" i="1"/>
  <c r="AY21" i="26"/>
  <c r="O111" i="1"/>
  <c r="O443" i="1"/>
  <c r="O444" i="1"/>
  <c r="O433" i="1"/>
  <c r="O434" i="1"/>
  <c r="O435" i="1"/>
  <c r="O436" i="1"/>
  <c r="O437" i="1"/>
  <c r="O438" i="1"/>
  <c r="O439" i="1"/>
  <c r="O440" i="1"/>
  <c r="O441" i="1"/>
  <c r="O442" i="1"/>
  <c r="O110" i="1"/>
  <c r="O116" i="1"/>
  <c r="AY20" i="26"/>
  <c r="N111" i="1"/>
  <c r="N443" i="1"/>
  <c r="N444" i="1"/>
  <c r="N433" i="1"/>
  <c r="N434" i="1"/>
  <c r="N435" i="1"/>
  <c r="N436" i="1"/>
  <c r="N437" i="1"/>
  <c r="N438" i="1"/>
  <c r="N439" i="1"/>
  <c r="N440" i="1"/>
  <c r="N441" i="1"/>
  <c r="N442" i="1"/>
  <c r="N110" i="1"/>
  <c r="N116" i="1"/>
  <c r="AY19" i="26"/>
  <c r="M111" i="1"/>
  <c r="M443" i="1"/>
  <c r="M444" i="1"/>
  <c r="M433" i="1"/>
  <c r="M434" i="1"/>
  <c r="M435" i="1"/>
  <c r="M436" i="1"/>
  <c r="M437" i="1"/>
  <c r="M438" i="1"/>
  <c r="M439" i="1"/>
  <c r="M440" i="1"/>
  <c r="M441" i="1"/>
  <c r="M442" i="1"/>
  <c r="M110" i="1"/>
  <c r="M116" i="1"/>
  <c r="AY18" i="26"/>
  <c r="L111" i="1"/>
  <c r="L443" i="1"/>
  <c r="L444" i="1"/>
  <c r="L433" i="1"/>
  <c r="L434" i="1"/>
  <c r="L435" i="1"/>
  <c r="L436" i="1"/>
  <c r="L437" i="1"/>
  <c r="L438" i="1"/>
  <c r="L439" i="1"/>
  <c r="L440" i="1"/>
  <c r="L441" i="1"/>
  <c r="L442" i="1"/>
  <c r="L110" i="1"/>
  <c r="L116" i="1"/>
  <c r="AY17" i="26"/>
  <c r="K111" i="1"/>
  <c r="K443" i="1"/>
  <c r="K444" i="1"/>
  <c r="K433" i="1"/>
  <c r="K434" i="1"/>
  <c r="K435" i="1"/>
  <c r="K436" i="1"/>
  <c r="K437" i="1"/>
  <c r="K438" i="1"/>
  <c r="K439" i="1"/>
  <c r="K440" i="1"/>
  <c r="K441" i="1"/>
  <c r="K442" i="1"/>
  <c r="K110" i="1"/>
  <c r="K116" i="1"/>
  <c r="AY16" i="26"/>
  <c r="J111" i="1"/>
  <c r="J443" i="1"/>
  <c r="J444" i="1"/>
  <c r="J433" i="1"/>
  <c r="J434" i="1"/>
  <c r="J435" i="1"/>
  <c r="J436" i="1"/>
  <c r="J437" i="1"/>
  <c r="J438" i="1"/>
  <c r="J439" i="1"/>
  <c r="J440" i="1"/>
  <c r="J441" i="1"/>
  <c r="J442" i="1"/>
  <c r="J110" i="1"/>
  <c r="J116" i="1"/>
  <c r="AY15" i="26"/>
  <c r="I111" i="1"/>
  <c r="I443" i="1"/>
  <c r="I444" i="1"/>
  <c r="I433" i="1"/>
  <c r="I434" i="1"/>
  <c r="I435" i="1"/>
  <c r="I436" i="1"/>
  <c r="I437" i="1"/>
  <c r="I438" i="1"/>
  <c r="I439" i="1"/>
  <c r="I440" i="1"/>
  <c r="I441" i="1"/>
  <c r="I442" i="1"/>
  <c r="I110" i="1"/>
  <c r="I116" i="1"/>
  <c r="AY14" i="26"/>
  <c r="H111" i="1"/>
  <c r="H443" i="1"/>
  <c r="H444" i="1"/>
  <c r="H433" i="1"/>
  <c r="H434" i="1"/>
  <c r="H435" i="1"/>
  <c r="H436" i="1"/>
  <c r="H437" i="1"/>
  <c r="H438" i="1"/>
  <c r="H439" i="1"/>
  <c r="H440" i="1"/>
  <c r="H441" i="1"/>
  <c r="H442" i="1"/>
  <c r="H110" i="1"/>
  <c r="H116" i="1"/>
  <c r="AY13" i="26"/>
  <c r="G111" i="1"/>
  <c r="G443" i="1"/>
  <c r="G444" i="1"/>
  <c r="G433" i="1"/>
  <c r="G434" i="1"/>
  <c r="G435" i="1"/>
  <c r="G436" i="1"/>
  <c r="G437" i="1"/>
  <c r="G438" i="1"/>
  <c r="G439" i="1"/>
  <c r="G440" i="1"/>
  <c r="G441" i="1"/>
  <c r="G442" i="1"/>
  <c r="G110" i="1"/>
  <c r="G116" i="1"/>
  <c r="AY12" i="26"/>
  <c r="F111" i="1"/>
  <c r="F443" i="1"/>
  <c r="F444" i="1"/>
  <c r="F433" i="1"/>
  <c r="F434" i="1"/>
  <c r="F435" i="1"/>
  <c r="F436" i="1"/>
  <c r="F437" i="1"/>
  <c r="F438" i="1"/>
  <c r="F439" i="1"/>
  <c r="F440" i="1"/>
  <c r="F441" i="1"/>
  <c r="F442" i="1"/>
  <c r="F110" i="1"/>
  <c r="F116" i="1"/>
  <c r="AY11" i="26"/>
  <c r="E111" i="1"/>
  <c r="E443" i="1"/>
  <c r="E444" i="1"/>
  <c r="E433" i="1"/>
  <c r="E434" i="1"/>
  <c r="E435" i="1"/>
  <c r="E436" i="1"/>
  <c r="E437" i="1"/>
  <c r="E438" i="1"/>
  <c r="E439" i="1"/>
  <c r="E440" i="1"/>
  <c r="E441" i="1"/>
  <c r="E442" i="1"/>
  <c r="E110" i="1"/>
  <c r="E116" i="1"/>
  <c r="AY10" i="26"/>
  <c r="D111" i="1"/>
  <c r="D443" i="1"/>
  <c r="D444" i="1"/>
  <c r="D433" i="1"/>
  <c r="D434" i="1"/>
  <c r="D435" i="1"/>
  <c r="D436" i="1"/>
  <c r="D437" i="1"/>
  <c r="D438" i="1"/>
  <c r="D439" i="1"/>
  <c r="D440" i="1"/>
  <c r="D441" i="1"/>
  <c r="D442" i="1"/>
  <c r="D110" i="1"/>
  <c r="D116" i="1"/>
  <c r="AY9" i="26"/>
  <c r="C111" i="1"/>
  <c r="C443" i="1"/>
  <c r="C444" i="1"/>
  <c r="C433" i="1"/>
  <c r="C434" i="1"/>
  <c r="C435" i="1"/>
  <c r="C436" i="1"/>
  <c r="C437" i="1"/>
  <c r="C438" i="1"/>
  <c r="C439" i="1"/>
  <c r="C440" i="1"/>
  <c r="C441" i="1"/>
  <c r="C442" i="1"/>
  <c r="C110" i="1"/>
  <c r="C116" i="1"/>
  <c r="AY8" i="26"/>
  <c r="AF112" i="1"/>
  <c r="AF115" i="1"/>
  <c r="AG37" i="26"/>
  <c r="AE112" i="1"/>
  <c r="AE115" i="1"/>
  <c r="AG36" i="26"/>
  <c r="AD112" i="1"/>
  <c r="AD115" i="1"/>
  <c r="AG35" i="26"/>
  <c r="AC112" i="1"/>
  <c r="AC115" i="1"/>
  <c r="AG34" i="26"/>
  <c r="AB112" i="1"/>
  <c r="AB115" i="1"/>
  <c r="AG33" i="26"/>
  <c r="AA112" i="1"/>
  <c r="AA115" i="1"/>
  <c r="AG32" i="26"/>
  <c r="Z112" i="1"/>
  <c r="Z115" i="1"/>
  <c r="AG31" i="26"/>
  <c r="Y112" i="1"/>
  <c r="Y115" i="1"/>
  <c r="AG30" i="26"/>
  <c r="X112" i="1"/>
  <c r="X115" i="1"/>
  <c r="AG29" i="26"/>
  <c r="W112" i="1"/>
  <c r="W115" i="1"/>
  <c r="AG28" i="26"/>
  <c r="V112" i="1"/>
  <c r="V115" i="1"/>
  <c r="AG27" i="26"/>
  <c r="AF114" i="1"/>
  <c r="AF37" i="26"/>
  <c r="AE114" i="1"/>
  <c r="AF36" i="26"/>
  <c r="AD114" i="1"/>
  <c r="AF35" i="26"/>
  <c r="AC114" i="1"/>
  <c r="AF34" i="26"/>
  <c r="AB114" i="1"/>
  <c r="AF33" i="26"/>
  <c r="AA114" i="1"/>
  <c r="AF32" i="26"/>
  <c r="Z114" i="1"/>
  <c r="AF31" i="26"/>
  <c r="Y114" i="1"/>
  <c r="AF30" i="26"/>
  <c r="X114" i="1"/>
  <c r="AF29" i="26"/>
  <c r="W114" i="1"/>
  <c r="AF28" i="26"/>
  <c r="V120" i="1"/>
  <c r="V108" i="1"/>
  <c r="V126" i="1"/>
  <c r="V96" i="1"/>
  <c r="V114" i="1"/>
  <c r="AF27" i="26"/>
  <c r="AF113" i="1"/>
  <c r="AE37" i="26"/>
  <c r="AE113" i="1"/>
  <c r="AE36" i="26"/>
  <c r="AD113" i="1"/>
  <c r="AE35" i="26"/>
  <c r="AC113" i="1"/>
  <c r="AE34" i="26"/>
  <c r="AB113" i="1"/>
  <c r="AE33" i="26"/>
  <c r="AA113" i="1"/>
  <c r="AE32" i="26"/>
  <c r="Z113" i="1"/>
  <c r="AE31" i="26"/>
  <c r="Y113" i="1"/>
  <c r="AE30" i="26"/>
  <c r="X113" i="1"/>
  <c r="AE29" i="26"/>
  <c r="W113" i="1"/>
  <c r="AE28" i="26"/>
  <c r="V404" i="1"/>
  <c r="V405" i="1"/>
  <c r="V131" i="1"/>
  <c r="V132" i="1"/>
  <c r="V123" i="1"/>
  <c r="V113" i="1"/>
  <c r="AE27" i="26"/>
  <c r="AD37" i="26"/>
  <c r="AD36" i="26"/>
  <c r="AD35" i="26"/>
  <c r="AD34" i="26"/>
  <c r="AD33" i="26"/>
  <c r="AD32" i="26"/>
  <c r="AD31" i="26"/>
  <c r="AD30" i="26"/>
  <c r="AD29" i="26"/>
  <c r="AD28" i="26"/>
  <c r="AD27" i="26"/>
  <c r="AC37" i="26"/>
  <c r="AC36" i="26"/>
  <c r="AC35" i="26"/>
  <c r="AC34" i="26"/>
  <c r="AC33" i="26"/>
  <c r="AC32" i="26"/>
  <c r="AC31" i="26"/>
  <c r="AC30" i="26"/>
  <c r="AC29" i="26"/>
  <c r="AC28" i="26"/>
  <c r="AC27" i="26"/>
  <c r="AB37" i="26"/>
  <c r="AB36" i="26"/>
  <c r="AB35" i="26"/>
  <c r="AB34" i="26"/>
  <c r="AB33" i="26"/>
  <c r="AB32" i="26"/>
  <c r="AB31" i="26"/>
  <c r="AB30" i="26"/>
  <c r="AB29" i="26"/>
  <c r="AB28" i="26"/>
  <c r="AB27" i="26"/>
  <c r="AF109" i="1"/>
  <c r="AA37" i="26"/>
  <c r="AE109" i="1"/>
  <c r="AA36" i="26"/>
  <c r="AD109" i="1"/>
  <c r="AA35" i="26"/>
  <c r="AC109" i="1"/>
  <c r="AA34" i="26"/>
  <c r="AB109" i="1"/>
  <c r="AA33" i="26"/>
  <c r="AA109" i="1"/>
  <c r="AA32" i="26"/>
  <c r="Z109" i="1"/>
  <c r="AA31" i="26"/>
  <c r="Y109" i="1"/>
  <c r="AA30" i="26"/>
  <c r="X109" i="1"/>
  <c r="AA29" i="26"/>
  <c r="W109" i="1"/>
  <c r="AA28" i="26"/>
  <c r="V109" i="1"/>
  <c r="AA27" i="26"/>
  <c r="Z37" i="26"/>
  <c r="Z36" i="26"/>
  <c r="Z35" i="26"/>
  <c r="Z34" i="26"/>
  <c r="Z33" i="26"/>
  <c r="Z32" i="26"/>
  <c r="Z31" i="26"/>
  <c r="Z30" i="26"/>
  <c r="Z29" i="26"/>
  <c r="Z28" i="26"/>
  <c r="Z27" i="26"/>
  <c r="AF107" i="1"/>
  <c r="Y37" i="26"/>
  <c r="AE107" i="1"/>
  <c r="Y36" i="26"/>
  <c r="AD107" i="1"/>
  <c r="Y35" i="26"/>
  <c r="AC107" i="1"/>
  <c r="Y34" i="26"/>
  <c r="AB107" i="1"/>
  <c r="Y33" i="26"/>
  <c r="AA107" i="1"/>
  <c r="Y32" i="26"/>
  <c r="Z107" i="1"/>
  <c r="Y31" i="26"/>
  <c r="Y107" i="1"/>
  <c r="Y30" i="26"/>
  <c r="X107" i="1"/>
  <c r="Y29" i="26"/>
  <c r="W107" i="1"/>
  <c r="Y28" i="26"/>
  <c r="V107" i="1"/>
  <c r="Y27" i="26"/>
  <c r="F51" i="4"/>
  <c r="BR51" i="4"/>
  <c r="CA51" i="4"/>
  <c r="CJ51" i="4"/>
  <c r="CK51" i="4"/>
  <c r="CL51" i="4"/>
  <c r="CA52" i="4"/>
  <c r="CJ52" i="4"/>
  <c r="CK52" i="4"/>
  <c r="CL52" i="4"/>
  <c r="CA53" i="4"/>
  <c r="CJ53" i="4"/>
  <c r="CK53" i="4"/>
  <c r="CL53" i="4"/>
  <c r="CA54" i="4"/>
  <c r="CJ54" i="4"/>
  <c r="CK54" i="4"/>
  <c r="CL54" i="4"/>
  <c r="CA55" i="4"/>
  <c r="CJ55" i="4"/>
  <c r="CK55" i="4"/>
  <c r="CL55" i="4"/>
  <c r="CA56" i="4"/>
  <c r="CJ56" i="4"/>
  <c r="CK56" i="4"/>
  <c r="CL56" i="4"/>
  <c r="CA57" i="4"/>
  <c r="CJ57" i="4"/>
  <c r="CK57" i="4"/>
  <c r="CL57" i="4"/>
  <c r="CA58" i="4"/>
  <c r="CJ58" i="4"/>
  <c r="CK58" i="4"/>
  <c r="CL58" i="4"/>
  <c r="CL59" i="4"/>
  <c r="CL60" i="4"/>
  <c r="CL61" i="4"/>
  <c r="CL62" i="4"/>
  <c r="CL63" i="4"/>
  <c r="CL64" i="4"/>
  <c r="CL65" i="4"/>
  <c r="CL66" i="4"/>
  <c r="CL67" i="4"/>
  <c r="CL68" i="4"/>
  <c r="CL69" i="4"/>
  <c r="CL70" i="4"/>
  <c r="CL71" i="4"/>
  <c r="CL72" i="4"/>
  <c r="CL73" i="4"/>
  <c r="CL74" i="4"/>
  <c r="CL75" i="4"/>
  <c r="CL76" i="4"/>
  <c r="CL77" i="4"/>
  <c r="CL78" i="4"/>
  <c r="CL79" i="4"/>
  <c r="CL80" i="4"/>
  <c r="CK59" i="4"/>
  <c r="CK60" i="4"/>
  <c r="CK61" i="4"/>
  <c r="CK62" i="4"/>
  <c r="CK63" i="4"/>
  <c r="CK64" i="4"/>
  <c r="CK65" i="4"/>
  <c r="CK66" i="4"/>
  <c r="CK67" i="4"/>
  <c r="CK68" i="4"/>
  <c r="CK69" i="4"/>
  <c r="CK70" i="4"/>
  <c r="CK71" i="4"/>
  <c r="CK72" i="4"/>
  <c r="CK73" i="4"/>
  <c r="CK74" i="4"/>
  <c r="CK75" i="4"/>
  <c r="CK76" i="4"/>
  <c r="CK77" i="4"/>
  <c r="CK78" i="4"/>
  <c r="CK79" i="4"/>
  <c r="CK80" i="4"/>
  <c r="BZ83" i="4"/>
  <c r="BR83" i="4"/>
  <c r="C49" i="1"/>
  <c r="G51" i="4"/>
  <c r="BS51" i="4"/>
  <c r="CP51" i="4"/>
  <c r="F52" i="4"/>
  <c r="BR52" i="4"/>
  <c r="D49" i="1"/>
  <c r="G52" i="4"/>
  <c r="BS52" i="4"/>
  <c r="CP52" i="4"/>
  <c r="F53" i="4"/>
  <c r="BR53" i="4"/>
  <c r="E49" i="1"/>
  <c r="G53" i="4"/>
  <c r="BS53" i="4"/>
  <c r="CP53" i="4"/>
  <c r="F656" i="1"/>
  <c r="G656" i="1"/>
  <c r="H656" i="1"/>
  <c r="I656" i="1"/>
  <c r="J656" i="1"/>
  <c r="K656" i="1"/>
  <c r="CA59" i="4"/>
  <c r="CJ59" i="4"/>
  <c r="CJ60" i="4"/>
  <c r="M656" i="1"/>
  <c r="CA61" i="4"/>
  <c r="CJ61" i="4"/>
  <c r="CJ62" i="4"/>
  <c r="O656" i="1"/>
  <c r="CA63" i="4"/>
  <c r="CJ63" i="4"/>
  <c r="CJ64" i="4"/>
  <c r="F54" i="4"/>
  <c r="BR54" i="4"/>
  <c r="F49" i="1"/>
  <c r="G54" i="4"/>
  <c r="BS54" i="4"/>
  <c r="CP54" i="4"/>
  <c r="F55" i="4"/>
  <c r="BR55" i="4"/>
  <c r="G49" i="1"/>
  <c r="G55" i="4"/>
  <c r="BS55" i="4"/>
  <c r="CP55" i="4"/>
  <c r="F56" i="4"/>
  <c r="BR56" i="4"/>
  <c r="H49" i="1"/>
  <c r="G56" i="4"/>
  <c r="BS56" i="4"/>
  <c r="CP56" i="4"/>
  <c r="F57" i="4"/>
  <c r="BR57" i="4"/>
  <c r="I49" i="1"/>
  <c r="G57" i="4"/>
  <c r="BS57" i="4"/>
  <c r="CP57" i="4"/>
  <c r="F58" i="4"/>
  <c r="BR58" i="4"/>
  <c r="J49" i="1"/>
  <c r="G58" i="4"/>
  <c r="BS58" i="4"/>
  <c r="CP58" i="4"/>
  <c r="F59" i="4"/>
  <c r="BR59" i="4"/>
  <c r="K49" i="1"/>
  <c r="G59" i="4"/>
  <c r="BS59" i="4"/>
  <c r="CP59" i="4"/>
  <c r="BR60" i="4"/>
  <c r="BS60" i="4"/>
  <c r="CP60" i="4"/>
  <c r="F61" i="4"/>
  <c r="BR61" i="4"/>
  <c r="M49" i="1"/>
  <c r="G61" i="4"/>
  <c r="BS61" i="4"/>
  <c r="CP61" i="4"/>
  <c r="BR62" i="4"/>
  <c r="BS62" i="4"/>
  <c r="CP62" i="4"/>
  <c r="F63" i="4"/>
  <c r="BR63" i="4"/>
  <c r="O49" i="1"/>
  <c r="G63" i="4"/>
  <c r="BS63" i="4"/>
  <c r="CP63" i="4"/>
  <c r="BR64" i="4"/>
  <c r="BS64" i="4"/>
  <c r="CP64" i="4"/>
  <c r="CP65" i="4"/>
  <c r="CP66" i="4"/>
  <c r="CP67" i="4"/>
  <c r="CP68" i="4"/>
  <c r="CP69" i="4"/>
  <c r="CP70" i="4"/>
  <c r="CP71" i="4"/>
  <c r="CP72" i="4"/>
  <c r="CP73" i="4"/>
  <c r="CP74" i="4"/>
  <c r="CP75" i="4"/>
  <c r="CP76" i="4"/>
  <c r="CP77" i="4"/>
  <c r="CP78" i="4"/>
  <c r="CP79" i="4"/>
  <c r="CP80" i="4"/>
  <c r="CP83" i="4"/>
  <c r="C733" i="1"/>
  <c r="C734" i="1"/>
  <c r="C737" i="1"/>
  <c r="C735" i="1"/>
  <c r="C738" i="1"/>
  <c r="C741" i="1"/>
  <c r="C740" i="1"/>
  <c r="C739" i="1"/>
  <c r="C742" i="1"/>
  <c r="C745" i="1"/>
  <c r="C743" i="1"/>
  <c r="C744" i="1"/>
  <c r="C746" i="1"/>
  <c r="C749" i="1"/>
  <c r="C748" i="1"/>
  <c r="C747" i="1"/>
  <c r="C750" i="1"/>
  <c r="C753" i="1"/>
  <c r="C751" i="1"/>
  <c r="C752" i="1"/>
  <c r="C754" i="1"/>
  <c r="C757" i="1"/>
  <c r="C755" i="1"/>
  <c r="C756" i="1"/>
  <c r="C758" i="1"/>
  <c r="C761" i="1"/>
  <c r="C759" i="1"/>
  <c r="C760" i="1"/>
  <c r="C762" i="1"/>
  <c r="C765" i="1"/>
  <c r="C764" i="1"/>
  <c r="C763" i="1"/>
  <c r="C766" i="1"/>
  <c r="C769" i="1"/>
  <c r="C767" i="1"/>
  <c r="C768" i="1"/>
  <c r="C770" i="1"/>
  <c r="C773" i="1"/>
  <c r="C772" i="1"/>
  <c r="C771" i="1"/>
  <c r="C774" i="1"/>
  <c r="C777" i="1"/>
  <c r="C776" i="1"/>
  <c r="C775" i="1"/>
  <c r="C778" i="1"/>
  <c r="C781" i="1"/>
  <c r="C780" i="1"/>
  <c r="C779" i="1"/>
  <c r="C782" i="1"/>
  <c r="C785" i="1"/>
  <c r="C784" i="1"/>
  <c r="C783" i="1"/>
  <c r="C786" i="1"/>
  <c r="C789" i="1"/>
  <c r="C787" i="1"/>
  <c r="C788" i="1"/>
  <c r="C790" i="1"/>
  <c r="C793" i="1"/>
  <c r="C791" i="1"/>
  <c r="C792" i="1"/>
  <c r="C794" i="1"/>
  <c r="C797" i="1"/>
  <c r="C795" i="1"/>
  <c r="C796" i="1"/>
  <c r="C798" i="1"/>
  <c r="C801" i="1"/>
  <c r="C800" i="1"/>
  <c r="C799" i="1"/>
  <c r="C802" i="1"/>
  <c r="C805" i="1"/>
  <c r="C804" i="1"/>
  <c r="C803" i="1"/>
  <c r="C806" i="1"/>
  <c r="C809" i="1"/>
  <c r="C808" i="1"/>
  <c r="C807" i="1"/>
  <c r="C810" i="1"/>
  <c r="C813" i="1"/>
  <c r="C812" i="1"/>
  <c r="C811" i="1"/>
  <c r="C814" i="1"/>
  <c r="C817" i="1"/>
  <c r="C816" i="1"/>
  <c r="C815" i="1"/>
  <c r="C818" i="1"/>
  <c r="C822" i="1"/>
  <c r="C44" i="1"/>
  <c r="B51" i="4"/>
  <c r="BL51" i="4"/>
  <c r="D733" i="1"/>
  <c r="D734" i="1"/>
  <c r="D737" i="1"/>
  <c r="D736" i="1"/>
  <c r="D738" i="1"/>
  <c r="D741" i="1"/>
  <c r="D740" i="1"/>
  <c r="D742" i="1"/>
  <c r="D745" i="1"/>
  <c r="D743" i="1"/>
  <c r="D744" i="1"/>
  <c r="D746" i="1"/>
  <c r="D749" i="1"/>
  <c r="D747" i="1"/>
  <c r="D748" i="1"/>
  <c r="D750" i="1"/>
  <c r="D753" i="1"/>
  <c r="D751" i="1"/>
  <c r="D752" i="1"/>
  <c r="D754" i="1"/>
  <c r="D757" i="1"/>
  <c r="D755" i="1"/>
  <c r="D756" i="1"/>
  <c r="D758" i="1"/>
  <c r="D761" i="1"/>
  <c r="D759" i="1"/>
  <c r="D760" i="1"/>
  <c r="D762" i="1"/>
  <c r="D765" i="1"/>
  <c r="D764" i="1"/>
  <c r="D766" i="1"/>
  <c r="D769" i="1"/>
  <c r="D768" i="1"/>
  <c r="D770" i="1"/>
  <c r="D773" i="1"/>
  <c r="D772" i="1"/>
  <c r="D774" i="1"/>
  <c r="D777" i="1"/>
  <c r="D775" i="1"/>
  <c r="D776" i="1"/>
  <c r="D778" i="1"/>
  <c r="D781" i="1"/>
  <c r="D780" i="1"/>
  <c r="D782" i="1"/>
  <c r="D785" i="1"/>
  <c r="D784" i="1"/>
  <c r="D786" i="1"/>
  <c r="D789" i="1"/>
  <c r="D787" i="1"/>
  <c r="D788" i="1"/>
  <c r="D790" i="1"/>
  <c r="D793" i="1"/>
  <c r="D791" i="1"/>
  <c r="D792" i="1"/>
  <c r="D794" i="1"/>
  <c r="D797" i="1"/>
  <c r="D796" i="1"/>
  <c r="D798" i="1"/>
  <c r="D801" i="1"/>
  <c r="D799" i="1"/>
  <c r="D800" i="1"/>
  <c r="D802" i="1"/>
  <c r="D805" i="1"/>
  <c r="D804" i="1"/>
  <c r="D806" i="1"/>
  <c r="D809" i="1"/>
  <c r="D808" i="1"/>
  <c r="D810" i="1"/>
  <c r="D813" i="1"/>
  <c r="D812" i="1"/>
  <c r="D814" i="1"/>
  <c r="D817" i="1"/>
  <c r="D815" i="1"/>
  <c r="D816" i="1"/>
  <c r="D818" i="1"/>
  <c r="D822" i="1"/>
  <c r="D44" i="1"/>
  <c r="B52" i="4"/>
  <c r="BL52" i="4"/>
  <c r="E733" i="1"/>
  <c r="E734" i="1"/>
  <c r="E737" i="1"/>
  <c r="E735" i="1"/>
  <c r="E736" i="1"/>
  <c r="E738" i="1"/>
  <c r="E741" i="1"/>
  <c r="E740" i="1"/>
  <c r="E742" i="1"/>
  <c r="E745" i="1"/>
  <c r="E743" i="1"/>
  <c r="E744" i="1"/>
  <c r="E746" i="1"/>
  <c r="E749" i="1"/>
  <c r="E748" i="1"/>
  <c r="E750" i="1"/>
  <c r="E753" i="1"/>
  <c r="E752" i="1"/>
  <c r="E754" i="1"/>
  <c r="E757" i="1"/>
  <c r="E755" i="1"/>
  <c r="E756" i="1"/>
  <c r="E758" i="1"/>
  <c r="E761" i="1"/>
  <c r="E760" i="1"/>
  <c r="E762" i="1"/>
  <c r="E765" i="1"/>
  <c r="E764" i="1"/>
  <c r="E766" i="1"/>
  <c r="E769" i="1"/>
  <c r="E767" i="1"/>
  <c r="E768" i="1"/>
  <c r="E770" i="1"/>
  <c r="E773" i="1"/>
  <c r="E771" i="1"/>
  <c r="E772" i="1"/>
  <c r="E774" i="1"/>
  <c r="E777" i="1"/>
  <c r="E775" i="1"/>
  <c r="E776" i="1"/>
  <c r="E778" i="1"/>
  <c r="E781" i="1"/>
  <c r="E780" i="1"/>
  <c r="E782" i="1"/>
  <c r="E785" i="1"/>
  <c r="E784" i="1"/>
  <c r="E786" i="1"/>
  <c r="E789" i="1"/>
  <c r="E788" i="1"/>
  <c r="E790" i="1"/>
  <c r="E793" i="1"/>
  <c r="E791" i="1"/>
  <c r="E792" i="1"/>
  <c r="E794" i="1"/>
  <c r="E797" i="1"/>
  <c r="E795" i="1"/>
  <c r="E796" i="1"/>
  <c r="E798" i="1"/>
  <c r="E801" i="1"/>
  <c r="E800" i="1"/>
  <c r="E802" i="1"/>
  <c r="E805" i="1"/>
  <c r="E803" i="1"/>
  <c r="E804" i="1"/>
  <c r="E806" i="1"/>
  <c r="E809" i="1"/>
  <c r="E807" i="1"/>
  <c r="E808" i="1"/>
  <c r="E810" i="1"/>
  <c r="E813" i="1"/>
  <c r="E812" i="1"/>
  <c r="E814" i="1"/>
  <c r="E817" i="1"/>
  <c r="E815" i="1"/>
  <c r="E816" i="1"/>
  <c r="E818" i="1"/>
  <c r="E822" i="1"/>
  <c r="E44" i="1"/>
  <c r="B53" i="4"/>
  <c r="BL53" i="4"/>
  <c r="F733" i="1"/>
  <c r="F734" i="1"/>
  <c r="F737" i="1"/>
  <c r="F735" i="1"/>
  <c r="F736" i="1"/>
  <c r="F738" i="1"/>
  <c r="F741" i="1"/>
  <c r="F740" i="1"/>
  <c r="F742" i="1"/>
  <c r="F745" i="1"/>
  <c r="F743" i="1"/>
  <c r="F744" i="1"/>
  <c r="F746" i="1"/>
  <c r="F749" i="1"/>
  <c r="F747" i="1"/>
  <c r="F748" i="1"/>
  <c r="F750" i="1"/>
  <c r="F753" i="1"/>
  <c r="F752" i="1"/>
  <c r="F751" i="1"/>
  <c r="F754" i="1"/>
  <c r="F757" i="1"/>
  <c r="F755" i="1"/>
  <c r="F756" i="1"/>
  <c r="F758" i="1"/>
  <c r="F761" i="1"/>
  <c r="F760" i="1"/>
  <c r="F759" i="1"/>
  <c r="F762" i="1"/>
  <c r="F765" i="1"/>
  <c r="F763" i="1"/>
  <c r="F764" i="1"/>
  <c r="F766" i="1"/>
  <c r="F769" i="1"/>
  <c r="F767" i="1"/>
  <c r="F768" i="1"/>
  <c r="F770" i="1"/>
  <c r="F773" i="1"/>
  <c r="F771" i="1"/>
  <c r="F772" i="1"/>
  <c r="F774" i="1"/>
  <c r="F777" i="1"/>
  <c r="F775" i="1"/>
  <c r="F776" i="1"/>
  <c r="F778" i="1"/>
  <c r="F781" i="1"/>
  <c r="F780" i="1"/>
  <c r="F779" i="1"/>
  <c r="F782" i="1"/>
  <c r="F785" i="1"/>
  <c r="F783" i="1"/>
  <c r="F784" i="1"/>
  <c r="F786" i="1"/>
  <c r="F789" i="1"/>
  <c r="F787" i="1"/>
  <c r="F788" i="1"/>
  <c r="F790" i="1"/>
  <c r="F793" i="1"/>
  <c r="F792" i="1"/>
  <c r="F791" i="1"/>
  <c r="F794" i="1"/>
  <c r="F797" i="1"/>
  <c r="F795" i="1"/>
  <c r="F796" i="1"/>
  <c r="F798" i="1"/>
  <c r="F801" i="1"/>
  <c r="F799" i="1"/>
  <c r="F800" i="1"/>
  <c r="F802" i="1"/>
  <c r="F805" i="1"/>
  <c r="F803" i="1"/>
  <c r="F804" i="1"/>
  <c r="F806" i="1"/>
  <c r="F809" i="1"/>
  <c r="F807" i="1"/>
  <c r="F808" i="1"/>
  <c r="F810" i="1"/>
  <c r="F813" i="1"/>
  <c r="F812" i="1"/>
  <c r="F811" i="1"/>
  <c r="F814" i="1"/>
  <c r="F817" i="1"/>
  <c r="F816" i="1"/>
  <c r="F815" i="1"/>
  <c r="F818" i="1"/>
  <c r="F822" i="1"/>
  <c r="F44" i="1"/>
  <c r="F522" i="1"/>
  <c r="F526" i="1"/>
  <c r="F527" i="1"/>
  <c r="F530" i="1"/>
  <c r="F528" i="1"/>
  <c r="F531" i="1"/>
  <c r="F534" i="1"/>
  <c r="F533" i="1"/>
  <c r="F535" i="1"/>
  <c r="F538" i="1"/>
  <c r="F536" i="1"/>
  <c r="F539" i="1"/>
  <c r="F542" i="1"/>
  <c r="F541" i="1"/>
  <c r="F540" i="1"/>
  <c r="F543" i="1"/>
  <c r="F546" i="1"/>
  <c r="F544" i="1"/>
  <c r="F545" i="1"/>
  <c r="F547" i="1"/>
  <c r="F550" i="1"/>
  <c r="F548" i="1"/>
  <c r="F549" i="1"/>
  <c r="F551" i="1"/>
  <c r="F554" i="1"/>
  <c r="F552" i="1"/>
  <c r="F553" i="1"/>
  <c r="F555" i="1"/>
  <c r="F558" i="1"/>
  <c r="F557" i="1"/>
  <c r="F556" i="1"/>
  <c r="F559" i="1"/>
  <c r="F562" i="1"/>
  <c r="F561" i="1"/>
  <c r="F560" i="1"/>
  <c r="F563" i="1"/>
  <c r="F566" i="1"/>
  <c r="F565" i="1"/>
  <c r="F564" i="1"/>
  <c r="F567" i="1"/>
  <c r="F570" i="1"/>
  <c r="F569" i="1"/>
  <c r="F568" i="1"/>
  <c r="F571" i="1"/>
  <c r="F574" i="1"/>
  <c r="F573" i="1"/>
  <c r="F572" i="1"/>
  <c r="F575" i="1"/>
  <c r="F578" i="1"/>
  <c r="F577" i="1"/>
  <c r="F576" i="1"/>
  <c r="F579" i="1"/>
  <c r="F582" i="1"/>
  <c r="F580" i="1"/>
  <c r="F581" i="1"/>
  <c r="F583" i="1"/>
  <c r="F586" i="1"/>
  <c r="F585" i="1"/>
  <c r="F584" i="1"/>
  <c r="F587" i="1"/>
  <c r="F590" i="1"/>
  <c r="F588" i="1"/>
  <c r="F589" i="1"/>
  <c r="F591" i="1"/>
  <c r="F594" i="1"/>
  <c r="F592" i="1"/>
  <c r="F593" i="1"/>
  <c r="F595" i="1"/>
  <c r="F598" i="1"/>
  <c r="F596" i="1"/>
  <c r="F597" i="1"/>
  <c r="F599" i="1"/>
  <c r="F602" i="1"/>
  <c r="F601" i="1"/>
  <c r="F600" i="1"/>
  <c r="F603" i="1"/>
  <c r="F606" i="1"/>
  <c r="F605" i="1"/>
  <c r="F604" i="1"/>
  <c r="F607" i="1"/>
  <c r="F610" i="1"/>
  <c r="F609" i="1"/>
  <c r="F608" i="1"/>
  <c r="F611" i="1"/>
  <c r="F615" i="1"/>
  <c r="F34" i="1"/>
  <c r="B54" i="4"/>
  <c r="BL54" i="4"/>
  <c r="G733" i="1"/>
  <c r="G734" i="1"/>
  <c r="G737" i="1"/>
  <c r="G735" i="1"/>
  <c r="G736" i="1"/>
  <c r="G738" i="1"/>
  <c r="G741" i="1"/>
  <c r="G740" i="1"/>
  <c r="G742" i="1"/>
  <c r="G745" i="1"/>
  <c r="G743" i="1"/>
  <c r="G744" i="1"/>
  <c r="G746" i="1"/>
  <c r="G749" i="1"/>
  <c r="G748" i="1"/>
  <c r="G747" i="1"/>
  <c r="G750" i="1"/>
  <c r="G753" i="1"/>
  <c r="G751" i="1"/>
  <c r="G752" i="1"/>
  <c r="G754" i="1"/>
  <c r="G757" i="1"/>
  <c r="G755" i="1"/>
  <c r="G756" i="1"/>
  <c r="G758" i="1"/>
  <c r="G761" i="1"/>
  <c r="G760" i="1"/>
  <c r="G759" i="1"/>
  <c r="G762" i="1"/>
  <c r="G765" i="1"/>
  <c r="G763" i="1"/>
  <c r="G764" i="1"/>
  <c r="G766" i="1"/>
  <c r="G769" i="1"/>
  <c r="G768" i="1"/>
  <c r="G767" i="1"/>
  <c r="G770" i="1"/>
  <c r="G773" i="1"/>
  <c r="G772" i="1"/>
  <c r="G771" i="1"/>
  <c r="G774" i="1"/>
  <c r="G777" i="1"/>
  <c r="G776" i="1"/>
  <c r="G775" i="1"/>
  <c r="G778" i="1"/>
  <c r="G781" i="1"/>
  <c r="G780" i="1"/>
  <c r="G779" i="1"/>
  <c r="G782" i="1"/>
  <c r="G785" i="1"/>
  <c r="G783" i="1"/>
  <c r="G784" i="1"/>
  <c r="G786" i="1"/>
  <c r="G789" i="1"/>
  <c r="G788" i="1"/>
  <c r="G787" i="1"/>
  <c r="G790" i="1"/>
  <c r="G793" i="1"/>
  <c r="G792" i="1"/>
  <c r="G791" i="1"/>
  <c r="G794" i="1"/>
  <c r="G797" i="1"/>
  <c r="G795" i="1"/>
  <c r="G796" i="1"/>
  <c r="G798" i="1"/>
  <c r="G801" i="1"/>
  <c r="G799" i="1"/>
  <c r="G800" i="1"/>
  <c r="G802" i="1"/>
  <c r="G805" i="1"/>
  <c r="G804" i="1"/>
  <c r="G803" i="1"/>
  <c r="G806" i="1"/>
  <c r="G809" i="1"/>
  <c r="G807" i="1"/>
  <c r="G808" i="1"/>
  <c r="G810" i="1"/>
  <c r="G813" i="1"/>
  <c r="G811" i="1"/>
  <c r="G812" i="1"/>
  <c r="G814" i="1"/>
  <c r="G817" i="1"/>
  <c r="G816" i="1"/>
  <c r="G815" i="1"/>
  <c r="G818" i="1"/>
  <c r="G822" i="1"/>
  <c r="G44" i="1"/>
  <c r="G522" i="1"/>
  <c r="G526" i="1"/>
  <c r="G527" i="1"/>
  <c r="G530" i="1"/>
  <c r="G528" i="1"/>
  <c r="G531" i="1"/>
  <c r="G534" i="1"/>
  <c r="G533" i="1"/>
  <c r="G535" i="1"/>
  <c r="G538" i="1"/>
  <c r="G537" i="1"/>
  <c r="G536" i="1"/>
  <c r="G539" i="1"/>
  <c r="G542" i="1"/>
  <c r="G541" i="1"/>
  <c r="G543" i="1"/>
  <c r="G546" i="1"/>
  <c r="G544" i="1"/>
  <c r="G545" i="1"/>
  <c r="G547" i="1"/>
  <c r="G550" i="1"/>
  <c r="G549" i="1"/>
  <c r="G548" i="1"/>
  <c r="G551" i="1"/>
  <c r="G554" i="1"/>
  <c r="G552" i="1"/>
  <c r="G553" i="1"/>
  <c r="G555" i="1"/>
  <c r="G558" i="1"/>
  <c r="G557" i="1"/>
  <c r="G556" i="1"/>
  <c r="G559" i="1"/>
  <c r="G562" i="1"/>
  <c r="G560" i="1"/>
  <c r="G561" i="1"/>
  <c r="G563" i="1"/>
  <c r="G566" i="1"/>
  <c r="G564" i="1"/>
  <c r="G565" i="1"/>
  <c r="G567" i="1"/>
  <c r="G570" i="1"/>
  <c r="G568" i="1"/>
  <c r="G569" i="1"/>
  <c r="G571" i="1"/>
  <c r="G574" i="1"/>
  <c r="G572" i="1"/>
  <c r="G573" i="1"/>
  <c r="G575" i="1"/>
  <c r="G578" i="1"/>
  <c r="G577" i="1"/>
  <c r="G579" i="1"/>
  <c r="G582" i="1"/>
  <c r="G581" i="1"/>
  <c r="G580" i="1"/>
  <c r="G583" i="1"/>
  <c r="G586" i="1"/>
  <c r="G585" i="1"/>
  <c r="G584" i="1"/>
  <c r="G587" i="1"/>
  <c r="G590" i="1"/>
  <c r="G588" i="1"/>
  <c r="G589" i="1"/>
  <c r="G591" i="1"/>
  <c r="G594" i="1"/>
  <c r="G593" i="1"/>
  <c r="G592" i="1"/>
  <c r="G595" i="1"/>
  <c r="G598" i="1"/>
  <c r="G597" i="1"/>
  <c r="G596" i="1"/>
  <c r="G599" i="1"/>
  <c r="G602" i="1"/>
  <c r="G601" i="1"/>
  <c r="G600" i="1"/>
  <c r="G603" i="1"/>
  <c r="G606" i="1"/>
  <c r="G605" i="1"/>
  <c r="G607" i="1"/>
  <c r="G610" i="1"/>
  <c r="G609" i="1"/>
  <c r="G608" i="1"/>
  <c r="G611" i="1"/>
  <c r="G615" i="1"/>
  <c r="G34" i="1"/>
  <c r="B55" i="4"/>
  <c r="BL55" i="4"/>
  <c r="H733" i="1"/>
  <c r="H734" i="1"/>
  <c r="H737" i="1"/>
  <c r="H735" i="1"/>
  <c r="H736" i="1"/>
  <c r="H738" i="1"/>
  <c r="H741" i="1"/>
  <c r="H740" i="1"/>
  <c r="H742" i="1"/>
  <c r="H745" i="1"/>
  <c r="H743" i="1"/>
  <c r="H744" i="1"/>
  <c r="H746" i="1"/>
  <c r="H749" i="1"/>
  <c r="H748" i="1"/>
  <c r="H747" i="1"/>
  <c r="H750" i="1"/>
  <c r="H753" i="1"/>
  <c r="H751" i="1"/>
  <c r="H752" i="1"/>
  <c r="H754" i="1"/>
  <c r="H757" i="1"/>
  <c r="H756" i="1"/>
  <c r="H755" i="1"/>
  <c r="H758" i="1"/>
  <c r="H761" i="1"/>
  <c r="H759" i="1"/>
  <c r="H760" i="1"/>
  <c r="H762" i="1"/>
  <c r="H765" i="1"/>
  <c r="H763" i="1"/>
  <c r="H764" i="1"/>
  <c r="H766" i="1"/>
  <c r="H769" i="1"/>
  <c r="H767" i="1"/>
  <c r="H768" i="1"/>
  <c r="H770" i="1"/>
  <c r="H773" i="1"/>
  <c r="H772" i="1"/>
  <c r="H771" i="1"/>
  <c r="H774" i="1"/>
  <c r="H777" i="1"/>
  <c r="H776" i="1"/>
  <c r="H775" i="1"/>
  <c r="H778" i="1"/>
  <c r="H781" i="1"/>
  <c r="H779" i="1"/>
  <c r="H780" i="1"/>
  <c r="H782" i="1"/>
  <c r="H785" i="1"/>
  <c r="H783" i="1"/>
  <c r="H784" i="1"/>
  <c r="H786" i="1"/>
  <c r="H789" i="1"/>
  <c r="H788" i="1"/>
  <c r="H787" i="1"/>
  <c r="H790" i="1"/>
  <c r="H793" i="1"/>
  <c r="H791" i="1"/>
  <c r="H792" i="1"/>
  <c r="H794" i="1"/>
  <c r="H797" i="1"/>
  <c r="H796" i="1"/>
  <c r="H795" i="1"/>
  <c r="H798" i="1"/>
  <c r="H801" i="1"/>
  <c r="H800" i="1"/>
  <c r="H799" i="1"/>
  <c r="H802" i="1"/>
  <c r="H805" i="1"/>
  <c r="H804" i="1"/>
  <c r="H803" i="1"/>
  <c r="H806" i="1"/>
  <c r="H809" i="1"/>
  <c r="H807" i="1"/>
  <c r="H808" i="1"/>
  <c r="H810" i="1"/>
  <c r="H813" i="1"/>
  <c r="H811" i="1"/>
  <c r="H812" i="1"/>
  <c r="H814" i="1"/>
  <c r="H817" i="1"/>
  <c r="H815" i="1"/>
  <c r="H816" i="1"/>
  <c r="H818" i="1"/>
  <c r="H822" i="1"/>
  <c r="H44" i="1"/>
  <c r="H522" i="1"/>
  <c r="H526" i="1"/>
  <c r="H527" i="1"/>
  <c r="H530" i="1"/>
  <c r="H528" i="1"/>
  <c r="H531" i="1"/>
  <c r="H534" i="1"/>
  <c r="H533" i="1"/>
  <c r="H535" i="1"/>
  <c r="H538" i="1"/>
  <c r="H536" i="1"/>
  <c r="H539" i="1"/>
  <c r="H542" i="1"/>
  <c r="H541" i="1"/>
  <c r="H540" i="1"/>
  <c r="H543" i="1"/>
  <c r="H546" i="1"/>
  <c r="H544" i="1"/>
  <c r="H545" i="1"/>
  <c r="H547" i="1"/>
  <c r="H550" i="1"/>
  <c r="H548" i="1"/>
  <c r="H549" i="1"/>
  <c r="H551" i="1"/>
  <c r="H554" i="1"/>
  <c r="H552" i="1"/>
  <c r="H555" i="1"/>
  <c r="H558" i="1"/>
  <c r="H556" i="1"/>
  <c r="H557" i="1"/>
  <c r="H559" i="1"/>
  <c r="H562" i="1"/>
  <c r="H561" i="1"/>
  <c r="H563" i="1"/>
  <c r="H566" i="1"/>
  <c r="H565" i="1"/>
  <c r="H564" i="1"/>
  <c r="H567" i="1"/>
  <c r="H570" i="1"/>
  <c r="H569" i="1"/>
  <c r="H568" i="1"/>
  <c r="H571" i="1"/>
  <c r="H574" i="1"/>
  <c r="H572" i="1"/>
  <c r="H573" i="1"/>
  <c r="H575" i="1"/>
  <c r="H578" i="1"/>
  <c r="H577" i="1"/>
  <c r="H576" i="1"/>
  <c r="H579" i="1"/>
  <c r="H582" i="1"/>
  <c r="H580" i="1"/>
  <c r="H581" i="1"/>
  <c r="H583" i="1"/>
  <c r="H586" i="1"/>
  <c r="H585" i="1"/>
  <c r="H587" i="1"/>
  <c r="H590" i="1"/>
  <c r="H588" i="1"/>
  <c r="H589" i="1"/>
  <c r="H591" i="1"/>
  <c r="H594" i="1"/>
  <c r="H593" i="1"/>
  <c r="H592" i="1"/>
  <c r="H595" i="1"/>
  <c r="H598" i="1"/>
  <c r="H596" i="1"/>
  <c r="H597" i="1"/>
  <c r="H599" i="1"/>
  <c r="H602" i="1"/>
  <c r="H601" i="1"/>
  <c r="H600" i="1"/>
  <c r="H603" i="1"/>
  <c r="H606" i="1"/>
  <c r="H604" i="1"/>
  <c r="H605" i="1"/>
  <c r="H607" i="1"/>
  <c r="H610" i="1"/>
  <c r="H609" i="1"/>
  <c r="H611" i="1"/>
  <c r="H615" i="1"/>
  <c r="H34" i="1"/>
  <c r="B56" i="4"/>
  <c r="BL56" i="4"/>
  <c r="I733" i="1"/>
  <c r="I734" i="1"/>
  <c r="I737" i="1"/>
  <c r="I735" i="1"/>
  <c r="I736" i="1"/>
  <c r="I738" i="1"/>
  <c r="I741" i="1"/>
  <c r="I740" i="1"/>
  <c r="I742" i="1"/>
  <c r="I745" i="1"/>
  <c r="I743" i="1"/>
  <c r="I744" i="1"/>
  <c r="I746" i="1"/>
  <c r="I749" i="1"/>
  <c r="I747" i="1"/>
  <c r="I748" i="1"/>
  <c r="I750" i="1"/>
  <c r="I753" i="1"/>
  <c r="I752" i="1"/>
  <c r="I751" i="1"/>
  <c r="I754" i="1"/>
  <c r="I757" i="1"/>
  <c r="I755" i="1"/>
  <c r="I756" i="1"/>
  <c r="I758" i="1"/>
  <c r="I761" i="1"/>
  <c r="I759" i="1"/>
  <c r="I760" i="1"/>
  <c r="I762" i="1"/>
  <c r="I765" i="1"/>
  <c r="I764" i="1"/>
  <c r="I763" i="1"/>
  <c r="I766" i="1"/>
  <c r="I769" i="1"/>
  <c r="I768" i="1"/>
  <c r="I767" i="1"/>
  <c r="I770" i="1"/>
  <c r="I773" i="1"/>
  <c r="I771" i="1"/>
  <c r="I772" i="1"/>
  <c r="I774" i="1"/>
  <c r="I777" i="1"/>
  <c r="I776" i="1"/>
  <c r="I775" i="1"/>
  <c r="I778" i="1"/>
  <c r="I781" i="1"/>
  <c r="I780" i="1"/>
  <c r="I779" i="1"/>
  <c r="I782" i="1"/>
  <c r="I785" i="1"/>
  <c r="I783" i="1"/>
  <c r="I784" i="1"/>
  <c r="I786" i="1"/>
  <c r="I789" i="1"/>
  <c r="I787" i="1"/>
  <c r="I788" i="1"/>
  <c r="I790" i="1"/>
  <c r="I793" i="1"/>
  <c r="I791" i="1"/>
  <c r="I792" i="1"/>
  <c r="I794" i="1"/>
  <c r="I797" i="1"/>
  <c r="I796" i="1"/>
  <c r="I795" i="1"/>
  <c r="I798" i="1"/>
  <c r="I801" i="1"/>
  <c r="I800" i="1"/>
  <c r="I799" i="1"/>
  <c r="I802" i="1"/>
  <c r="I805" i="1"/>
  <c r="I804" i="1"/>
  <c r="I803" i="1"/>
  <c r="I806" i="1"/>
  <c r="I809" i="1"/>
  <c r="I807" i="1"/>
  <c r="I808" i="1"/>
  <c r="I810" i="1"/>
  <c r="I813" i="1"/>
  <c r="I812" i="1"/>
  <c r="I811" i="1"/>
  <c r="I814" i="1"/>
  <c r="I817" i="1"/>
  <c r="I815" i="1"/>
  <c r="I816" i="1"/>
  <c r="I818" i="1"/>
  <c r="I822" i="1"/>
  <c r="I44" i="1"/>
  <c r="I522" i="1"/>
  <c r="I526" i="1"/>
  <c r="I527" i="1"/>
  <c r="I530" i="1"/>
  <c r="I528" i="1"/>
  <c r="I531" i="1"/>
  <c r="I534" i="1"/>
  <c r="I533" i="1"/>
  <c r="I535" i="1"/>
  <c r="I538" i="1"/>
  <c r="I536" i="1"/>
  <c r="I539" i="1"/>
  <c r="I542" i="1"/>
  <c r="I541" i="1"/>
  <c r="I543" i="1"/>
  <c r="I546" i="1"/>
  <c r="I544" i="1"/>
  <c r="I547" i="1"/>
  <c r="I550" i="1"/>
  <c r="I548" i="1"/>
  <c r="I549" i="1"/>
  <c r="I551" i="1"/>
  <c r="I554" i="1"/>
  <c r="I553" i="1"/>
  <c r="I552" i="1"/>
  <c r="I555" i="1"/>
  <c r="I558" i="1"/>
  <c r="I556" i="1"/>
  <c r="I557" i="1"/>
  <c r="I559" i="1"/>
  <c r="I562" i="1"/>
  <c r="I560" i="1"/>
  <c r="I561" i="1"/>
  <c r="I563" i="1"/>
  <c r="I566" i="1"/>
  <c r="I565" i="1"/>
  <c r="I564" i="1"/>
  <c r="I567" i="1"/>
  <c r="I570" i="1"/>
  <c r="I568" i="1"/>
  <c r="I569" i="1"/>
  <c r="I571" i="1"/>
  <c r="I574" i="1"/>
  <c r="I572" i="1"/>
  <c r="I573" i="1"/>
  <c r="I575" i="1"/>
  <c r="I578" i="1"/>
  <c r="I576" i="1"/>
  <c r="I577" i="1"/>
  <c r="I579" i="1"/>
  <c r="I582" i="1"/>
  <c r="I581" i="1"/>
  <c r="I583" i="1"/>
  <c r="I586" i="1"/>
  <c r="I585" i="1"/>
  <c r="I584" i="1"/>
  <c r="I587" i="1"/>
  <c r="I590" i="1"/>
  <c r="I589" i="1"/>
  <c r="I588" i="1"/>
  <c r="I591" i="1"/>
  <c r="I594" i="1"/>
  <c r="I592" i="1"/>
  <c r="I593" i="1"/>
  <c r="I595" i="1"/>
  <c r="I598" i="1"/>
  <c r="I597" i="1"/>
  <c r="I596" i="1"/>
  <c r="I599" i="1"/>
  <c r="I602" i="1"/>
  <c r="I600" i="1"/>
  <c r="I601" i="1"/>
  <c r="I603" i="1"/>
  <c r="I606" i="1"/>
  <c r="I604" i="1"/>
  <c r="I605" i="1"/>
  <c r="I607" i="1"/>
  <c r="I610" i="1"/>
  <c r="I609" i="1"/>
  <c r="I608" i="1"/>
  <c r="I611" i="1"/>
  <c r="I615" i="1"/>
  <c r="I34" i="1"/>
  <c r="B57" i="4"/>
  <c r="BL57" i="4"/>
  <c r="J733" i="1"/>
  <c r="J734" i="1"/>
  <c r="J737" i="1"/>
  <c r="J735" i="1"/>
  <c r="J736" i="1"/>
  <c r="J738" i="1"/>
  <c r="J741" i="1"/>
  <c r="J740" i="1"/>
  <c r="J742" i="1"/>
  <c r="J745" i="1"/>
  <c r="J743" i="1"/>
  <c r="J744" i="1"/>
  <c r="J746" i="1"/>
  <c r="J749" i="1"/>
  <c r="J747" i="1"/>
  <c r="J748" i="1"/>
  <c r="J750" i="1"/>
  <c r="J753" i="1"/>
  <c r="J752" i="1"/>
  <c r="J751" i="1"/>
  <c r="J754" i="1"/>
  <c r="J757" i="1"/>
  <c r="J755" i="1"/>
  <c r="J756" i="1"/>
  <c r="J758" i="1"/>
  <c r="J761" i="1"/>
  <c r="J759" i="1"/>
  <c r="J760" i="1"/>
  <c r="J762" i="1"/>
  <c r="J765" i="1"/>
  <c r="J764" i="1"/>
  <c r="J763" i="1"/>
  <c r="J766" i="1"/>
  <c r="J769" i="1"/>
  <c r="J767" i="1"/>
  <c r="J768" i="1"/>
  <c r="J770" i="1"/>
  <c r="J773" i="1"/>
  <c r="J772" i="1"/>
  <c r="J771" i="1"/>
  <c r="J774" i="1"/>
  <c r="J777" i="1"/>
  <c r="J775" i="1"/>
  <c r="J776" i="1"/>
  <c r="J778" i="1"/>
  <c r="J781" i="1"/>
  <c r="J780" i="1"/>
  <c r="J779" i="1"/>
  <c r="J782" i="1"/>
  <c r="J785" i="1"/>
  <c r="J784" i="1"/>
  <c r="J783" i="1"/>
  <c r="J786" i="1"/>
  <c r="J789" i="1"/>
  <c r="J787" i="1"/>
  <c r="J788" i="1"/>
  <c r="J790" i="1"/>
  <c r="J793" i="1"/>
  <c r="J791" i="1"/>
  <c r="J792" i="1"/>
  <c r="J794" i="1"/>
  <c r="J797" i="1"/>
  <c r="J795" i="1"/>
  <c r="J796" i="1"/>
  <c r="J798" i="1"/>
  <c r="J801" i="1"/>
  <c r="J799" i="1"/>
  <c r="J800" i="1"/>
  <c r="J802" i="1"/>
  <c r="J805" i="1"/>
  <c r="J804" i="1"/>
  <c r="J803" i="1"/>
  <c r="J806" i="1"/>
  <c r="J809" i="1"/>
  <c r="J808" i="1"/>
  <c r="J807" i="1"/>
  <c r="J810" i="1"/>
  <c r="J813" i="1"/>
  <c r="J812" i="1"/>
  <c r="J811" i="1"/>
  <c r="J814" i="1"/>
  <c r="J817" i="1"/>
  <c r="J815" i="1"/>
  <c r="J816" i="1"/>
  <c r="J818" i="1"/>
  <c r="J822" i="1"/>
  <c r="J44" i="1"/>
  <c r="J522" i="1"/>
  <c r="J526" i="1"/>
  <c r="J527" i="1"/>
  <c r="J530" i="1"/>
  <c r="J528" i="1"/>
  <c r="J531" i="1"/>
  <c r="J534" i="1"/>
  <c r="J533" i="1"/>
  <c r="J535" i="1"/>
  <c r="J538" i="1"/>
  <c r="J536" i="1"/>
  <c r="J539" i="1"/>
  <c r="J542" i="1"/>
  <c r="J541" i="1"/>
  <c r="J540" i="1"/>
  <c r="J543" i="1"/>
  <c r="J546" i="1"/>
  <c r="J544" i="1"/>
  <c r="J547" i="1"/>
  <c r="J550" i="1"/>
  <c r="J548" i="1"/>
  <c r="J549" i="1"/>
  <c r="J551" i="1"/>
  <c r="J554" i="1"/>
  <c r="J553" i="1"/>
  <c r="J552" i="1"/>
  <c r="J555" i="1"/>
  <c r="J558" i="1"/>
  <c r="J556" i="1"/>
  <c r="J557" i="1"/>
  <c r="J559" i="1"/>
  <c r="J562" i="1"/>
  <c r="J560" i="1"/>
  <c r="J561" i="1"/>
  <c r="J563" i="1"/>
  <c r="J566" i="1"/>
  <c r="J564" i="1"/>
  <c r="J565" i="1"/>
  <c r="J567" i="1"/>
  <c r="J570" i="1"/>
  <c r="J569" i="1"/>
  <c r="J568" i="1"/>
  <c r="J571" i="1"/>
  <c r="J574" i="1"/>
  <c r="J573" i="1"/>
  <c r="J572" i="1"/>
  <c r="J575" i="1"/>
  <c r="J578" i="1"/>
  <c r="J577" i="1"/>
  <c r="J576" i="1"/>
  <c r="J579" i="1"/>
  <c r="J582" i="1"/>
  <c r="J580" i="1"/>
  <c r="J581" i="1"/>
  <c r="J583" i="1"/>
  <c r="J586" i="1"/>
  <c r="J584" i="1"/>
  <c r="J585" i="1"/>
  <c r="J587" i="1"/>
  <c r="J590" i="1"/>
  <c r="J589" i="1"/>
  <c r="J588" i="1"/>
  <c r="J591" i="1"/>
  <c r="J594" i="1"/>
  <c r="J592" i="1"/>
  <c r="J593" i="1"/>
  <c r="J595" i="1"/>
  <c r="J598" i="1"/>
  <c r="J596" i="1"/>
  <c r="J597" i="1"/>
  <c r="J599" i="1"/>
  <c r="J602" i="1"/>
  <c r="J601" i="1"/>
  <c r="J600" i="1"/>
  <c r="J603" i="1"/>
  <c r="J606" i="1"/>
  <c r="J605" i="1"/>
  <c r="J604" i="1"/>
  <c r="J607" i="1"/>
  <c r="J610" i="1"/>
  <c r="J609" i="1"/>
  <c r="J608" i="1"/>
  <c r="J611" i="1"/>
  <c r="J615" i="1"/>
  <c r="J34" i="1"/>
  <c r="B58" i="4"/>
  <c r="BL58" i="4"/>
  <c r="K733" i="1"/>
  <c r="K734" i="1"/>
  <c r="K737" i="1"/>
  <c r="K735" i="1"/>
  <c r="K736" i="1"/>
  <c r="K738" i="1"/>
  <c r="K741" i="1"/>
  <c r="K740" i="1"/>
  <c r="K742" i="1"/>
  <c r="K745" i="1"/>
  <c r="K743" i="1"/>
  <c r="K744" i="1"/>
  <c r="K746" i="1"/>
  <c r="K749" i="1"/>
  <c r="K747" i="1"/>
  <c r="K748" i="1"/>
  <c r="K750" i="1"/>
  <c r="K753" i="1"/>
  <c r="K752" i="1"/>
  <c r="K751" i="1"/>
  <c r="K754" i="1"/>
  <c r="K757" i="1"/>
  <c r="K755" i="1"/>
  <c r="K756" i="1"/>
  <c r="K758" i="1"/>
  <c r="K761" i="1"/>
  <c r="K760" i="1"/>
  <c r="K759" i="1"/>
  <c r="K762" i="1"/>
  <c r="K765" i="1"/>
  <c r="K763" i="1"/>
  <c r="K764" i="1"/>
  <c r="K766" i="1"/>
  <c r="K769" i="1"/>
  <c r="K767" i="1"/>
  <c r="K768" i="1"/>
  <c r="K770" i="1"/>
  <c r="K773" i="1"/>
  <c r="K771" i="1"/>
  <c r="K772" i="1"/>
  <c r="K774" i="1"/>
  <c r="K777" i="1"/>
  <c r="K775" i="1"/>
  <c r="K776" i="1"/>
  <c r="K778" i="1"/>
  <c r="K781" i="1"/>
  <c r="K779" i="1"/>
  <c r="K780" i="1"/>
  <c r="K782" i="1"/>
  <c r="K785" i="1"/>
  <c r="K784" i="1"/>
  <c r="K783" i="1"/>
  <c r="K786" i="1"/>
  <c r="K789" i="1"/>
  <c r="K787" i="1"/>
  <c r="K788" i="1"/>
  <c r="K790" i="1"/>
  <c r="K793" i="1"/>
  <c r="K791" i="1"/>
  <c r="K792" i="1"/>
  <c r="K794" i="1"/>
  <c r="K797" i="1"/>
  <c r="K796" i="1"/>
  <c r="K795" i="1"/>
  <c r="K798" i="1"/>
  <c r="K801" i="1"/>
  <c r="K800" i="1"/>
  <c r="K799" i="1"/>
  <c r="K802" i="1"/>
  <c r="K805" i="1"/>
  <c r="K804" i="1"/>
  <c r="K803" i="1"/>
  <c r="K806" i="1"/>
  <c r="K809" i="1"/>
  <c r="K808" i="1"/>
  <c r="K807" i="1"/>
  <c r="K810" i="1"/>
  <c r="K813" i="1"/>
  <c r="K812" i="1"/>
  <c r="K811" i="1"/>
  <c r="K814" i="1"/>
  <c r="K817" i="1"/>
  <c r="K815" i="1"/>
  <c r="K816" i="1"/>
  <c r="K818" i="1"/>
  <c r="K822" i="1"/>
  <c r="K44" i="1"/>
  <c r="K522" i="1"/>
  <c r="K526" i="1"/>
  <c r="K527" i="1"/>
  <c r="K530" i="1"/>
  <c r="K528" i="1"/>
  <c r="K531" i="1"/>
  <c r="K534" i="1"/>
  <c r="K533" i="1"/>
  <c r="K535" i="1"/>
  <c r="K538" i="1"/>
  <c r="K536" i="1"/>
  <c r="K539" i="1"/>
  <c r="K542" i="1"/>
  <c r="K541" i="1"/>
  <c r="K540" i="1"/>
  <c r="K543" i="1"/>
  <c r="K546" i="1"/>
  <c r="K544" i="1"/>
  <c r="K545" i="1"/>
  <c r="K547" i="1"/>
  <c r="K550" i="1"/>
  <c r="K548" i="1"/>
  <c r="K549" i="1"/>
  <c r="K551" i="1"/>
  <c r="K554" i="1"/>
  <c r="K552" i="1"/>
  <c r="K553" i="1"/>
  <c r="K555" i="1"/>
  <c r="K558" i="1"/>
  <c r="K557" i="1"/>
  <c r="K556" i="1"/>
  <c r="K559" i="1"/>
  <c r="K562" i="1"/>
  <c r="K561" i="1"/>
  <c r="K560" i="1"/>
  <c r="K563" i="1"/>
  <c r="K566" i="1"/>
  <c r="K565" i="1"/>
  <c r="K564" i="1"/>
  <c r="K567" i="1"/>
  <c r="K570" i="1"/>
  <c r="K569" i="1"/>
  <c r="K568" i="1"/>
  <c r="K571" i="1"/>
  <c r="K574" i="1"/>
  <c r="K573" i="1"/>
  <c r="K572" i="1"/>
  <c r="K575" i="1"/>
  <c r="K578" i="1"/>
  <c r="K576" i="1"/>
  <c r="K577" i="1"/>
  <c r="K579" i="1"/>
  <c r="K582" i="1"/>
  <c r="K580" i="1"/>
  <c r="K581" i="1"/>
  <c r="K583" i="1"/>
  <c r="K586" i="1"/>
  <c r="K585" i="1"/>
  <c r="K584" i="1"/>
  <c r="K587" i="1"/>
  <c r="K590" i="1"/>
  <c r="K589" i="1"/>
  <c r="K588" i="1"/>
  <c r="K591" i="1"/>
  <c r="K594" i="1"/>
  <c r="K593" i="1"/>
  <c r="K592" i="1"/>
  <c r="K595" i="1"/>
  <c r="K598" i="1"/>
  <c r="K597" i="1"/>
  <c r="K596" i="1"/>
  <c r="K599" i="1"/>
  <c r="K602" i="1"/>
  <c r="K600" i="1"/>
  <c r="K601" i="1"/>
  <c r="K603" i="1"/>
  <c r="K606" i="1"/>
  <c r="K604" i="1"/>
  <c r="K605" i="1"/>
  <c r="K607" i="1"/>
  <c r="K610" i="1"/>
  <c r="K609" i="1"/>
  <c r="K608" i="1"/>
  <c r="K611" i="1"/>
  <c r="K615" i="1"/>
  <c r="K34" i="1"/>
  <c r="B59" i="4"/>
  <c r="BL59" i="4"/>
  <c r="BL60" i="4"/>
  <c r="M733" i="1"/>
  <c r="M734" i="1"/>
  <c r="M737" i="1"/>
  <c r="M735" i="1"/>
  <c r="M736" i="1"/>
  <c r="M738" i="1"/>
  <c r="M741" i="1"/>
  <c r="M740" i="1"/>
  <c r="M742" i="1"/>
  <c r="M745" i="1"/>
  <c r="M743" i="1"/>
  <c r="M744" i="1"/>
  <c r="M746" i="1"/>
  <c r="M749" i="1"/>
  <c r="M747" i="1"/>
  <c r="M748" i="1"/>
  <c r="M750" i="1"/>
  <c r="M753" i="1"/>
  <c r="M752" i="1"/>
  <c r="M751" i="1"/>
  <c r="M754" i="1"/>
  <c r="M757" i="1"/>
  <c r="M755" i="1"/>
  <c r="M756" i="1"/>
  <c r="M758" i="1"/>
  <c r="M761" i="1"/>
  <c r="M759" i="1"/>
  <c r="M760" i="1"/>
  <c r="M762" i="1"/>
  <c r="M765" i="1"/>
  <c r="M764" i="1"/>
  <c r="M763" i="1"/>
  <c r="M766" i="1"/>
  <c r="M769" i="1"/>
  <c r="M767" i="1"/>
  <c r="M768" i="1"/>
  <c r="M770" i="1"/>
  <c r="M773" i="1"/>
  <c r="M772" i="1"/>
  <c r="M771" i="1"/>
  <c r="M774" i="1"/>
  <c r="M777" i="1"/>
  <c r="M775" i="1"/>
  <c r="M776" i="1"/>
  <c r="M778" i="1"/>
  <c r="M781" i="1"/>
  <c r="M779" i="1"/>
  <c r="M780" i="1"/>
  <c r="M782" i="1"/>
  <c r="M785" i="1"/>
  <c r="M784" i="1"/>
  <c r="M783" i="1"/>
  <c r="M786" i="1"/>
  <c r="M789" i="1"/>
  <c r="M788" i="1"/>
  <c r="M787" i="1"/>
  <c r="M790" i="1"/>
  <c r="M793" i="1"/>
  <c r="M791" i="1"/>
  <c r="M792" i="1"/>
  <c r="M794" i="1"/>
  <c r="M797" i="1"/>
  <c r="M795" i="1"/>
  <c r="M796" i="1"/>
  <c r="M798" i="1"/>
  <c r="M801" i="1"/>
  <c r="M800" i="1"/>
  <c r="M799" i="1"/>
  <c r="M802" i="1"/>
  <c r="M805" i="1"/>
  <c r="M803" i="1"/>
  <c r="M804" i="1"/>
  <c r="M806" i="1"/>
  <c r="M809" i="1"/>
  <c r="M808" i="1"/>
  <c r="M807" i="1"/>
  <c r="M810" i="1"/>
  <c r="M813" i="1"/>
  <c r="M812" i="1"/>
  <c r="M811" i="1"/>
  <c r="M814" i="1"/>
  <c r="M817" i="1"/>
  <c r="M815" i="1"/>
  <c r="M816" i="1"/>
  <c r="M818" i="1"/>
  <c r="M822" i="1"/>
  <c r="M44" i="1"/>
  <c r="M522" i="1"/>
  <c r="M526" i="1"/>
  <c r="M527" i="1"/>
  <c r="M530" i="1"/>
  <c r="M528" i="1"/>
  <c r="M531" i="1"/>
  <c r="M534" i="1"/>
  <c r="M533" i="1"/>
  <c r="M535" i="1"/>
  <c r="M538" i="1"/>
  <c r="M536" i="1"/>
  <c r="M537" i="1"/>
  <c r="M539" i="1"/>
  <c r="M542" i="1"/>
  <c r="M541" i="1"/>
  <c r="M543" i="1"/>
  <c r="M546" i="1"/>
  <c r="M544" i="1"/>
  <c r="M545" i="1"/>
  <c r="M547" i="1"/>
  <c r="M550" i="1"/>
  <c r="M548" i="1"/>
  <c r="M551" i="1"/>
  <c r="M554" i="1"/>
  <c r="M553" i="1"/>
  <c r="M552" i="1"/>
  <c r="M555" i="1"/>
  <c r="M558" i="1"/>
  <c r="M556" i="1"/>
  <c r="M557" i="1"/>
  <c r="M559" i="1"/>
  <c r="M562" i="1"/>
  <c r="M561" i="1"/>
  <c r="M560" i="1"/>
  <c r="M563" i="1"/>
  <c r="M566" i="1"/>
  <c r="M564" i="1"/>
  <c r="M565" i="1"/>
  <c r="M567" i="1"/>
  <c r="M570" i="1"/>
  <c r="M568" i="1"/>
  <c r="M569" i="1"/>
  <c r="M571" i="1"/>
  <c r="M574" i="1"/>
  <c r="M572" i="1"/>
  <c r="M573" i="1"/>
  <c r="M575" i="1"/>
  <c r="M578" i="1"/>
  <c r="M577" i="1"/>
  <c r="M576" i="1"/>
  <c r="M579" i="1"/>
  <c r="M582" i="1"/>
  <c r="M580" i="1"/>
  <c r="M581" i="1"/>
  <c r="M583" i="1"/>
  <c r="M586" i="1"/>
  <c r="M585" i="1"/>
  <c r="M584" i="1"/>
  <c r="M587" i="1"/>
  <c r="M590" i="1"/>
  <c r="M589" i="1"/>
  <c r="M588" i="1"/>
  <c r="M591" i="1"/>
  <c r="M594" i="1"/>
  <c r="M592" i="1"/>
  <c r="M593" i="1"/>
  <c r="M595" i="1"/>
  <c r="M598" i="1"/>
  <c r="M596" i="1"/>
  <c r="M597" i="1"/>
  <c r="M599" i="1"/>
  <c r="M602" i="1"/>
  <c r="M601" i="1"/>
  <c r="M600" i="1"/>
  <c r="M603" i="1"/>
  <c r="M606" i="1"/>
  <c r="M604" i="1"/>
  <c r="M605" i="1"/>
  <c r="M607" i="1"/>
  <c r="M610" i="1"/>
  <c r="M609" i="1"/>
  <c r="M608" i="1"/>
  <c r="M611" i="1"/>
  <c r="M615" i="1"/>
  <c r="M34" i="1"/>
  <c r="B61" i="4"/>
  <c r="BL61" i="4"/>
  <c r="BL62" i="4"/>
  <c r="O733" i="1"/>
  <c r="O734" i="1"/>
  <c r="O737" i="1"/>
  <c r="O735" i="1"/>
  <c r="O736" i="1"/>
  <c r="O738" i="1"/>
  <c r="O741" i="1"/>
  <c r="O740" i="1"/>
  <c r="O742" i="1"/>
  <c r="O745" i="1"/>
  <c r="O743" i="1"/>
  <c r="O744" i="1"/>
  <c r="O746" i="1"/>
  <c r="O749" i="1"/>
  <c r="O747" i="1"/>
  <c r="O748" i="1"/>
  <c r="O750" i="1"/>
  <c r="O753" i="1"/>
  <c r="O752" i="1"/>
  <c r="O751" i="1"/>
  <c r="O754" i="1"/>
  <c r="O757" i="1"/>
  <c r="O755" i="1"/>
  <c r="O756" i="1"/>
  <c r="O758" i="1"/>
  <c r="O761" i="1"/>
  <c r="O759" i="1"/>
  <c r="O760" i="1"/>
  <c r="O762" i="1"/>
  <c r="O765" i="1"/>
  <c r="O764" i="1"/>
  <c r="O763" i="1"/>
  <c r="O766" i="1"/>
  <c r="O769" i="1"/>
  <c r="O767" i="1"/>
  <c r="O768" i="1"/>
  <c r="O770" i="1"/>
  <c r="O773" i="1"/>
  <c r="O771" i="1"/>
  <c r="O772" i="1"/>
  <c r="O774" i="1"/>
  <c r="O777" i="1"/>
  <c r="O776" i="1"/>
  <c r="O775" i="1"/>
  <c r="O778" i="1"/>
  <c r="O781" i="1"/>
  <c r="O780" i="1"/>
  <c r="O779" i="1"/>
  <c r="O782" i="1"/>
  <c r="O785" i="1"/>
  <c r="O784" i="1"/>
  <c r="O783" i="1"/>
  <c r="O786" i="1"/>
  <c r="O789" i="1"/>
  <c r="O787" i="1"/>
  <c r="O788" i="1"/>
  <c r="O790" i="1"/>
  <c r="O793" i="1"/>
  <c r="O792" i="1"/>
  <c r="O791" i="1"/>
  <c r="O794" i="1"/>
  <c r="O797" i="1"/>
  <c r="O796" i="1"/>
  <c r="O795" i="1"/>
  <c r="O798" i="1"/>
  <c r="O801" i="1"/>
  <c r="O800" i="1"/>
  <c r="O799" i="1"/>
  <c r="O802" i="1"/>
  <c r="O805" i="1"/>
  <c r="O804" i="1"/>
  <c r="O803" i="1"/>
  <c r="O806" i="1"/>
  <c r="O809" i="1"/>
  <c r="O808" i="1"/>
  <c r="O807" i="1"/>
  <c r="O810" i="1"/>
  <c r="O813" i="1"/>
  <c r="O811" i="1"/>
  <c r="O812" i="1"/>
  <c r="O814" i="1"/>
  <c r="O817" i="1"/>
  <c r="O815" i="1"/>
  <c r="O816" i="1"/>
  <c r="O818" i="1"/>
  <c r="O822" i="1"/>
  <c r="O44" i="1"/>
  <c r="O522" i="1"/>
  <c r="O526" i="1"/>
  <c r="O527" i="1"/>
  <c r="O530" i="1"/>
  <c r="O528" i="1"/>
  <c r="O531" i="1"/>
  <c r="O534" i="1"/>
  <c r="O533" i="1"/>
  <c r="O535" i="1"/>
  <c r="O538" i="1"/>
  <c r="O536" i="1"/>
  <c r="O539" i="1"/>
  <c r="O542" i="1"/>
  <c r="O541" i="1"/>
  <c r="O543" i="1"/>
  <c r="O546" i="1"/>
  <c r="O544" i="1"/>
  <c r="O547" i="1"/>
  <c r="O550" i="1"/>
  <c r="O548" i="1"/>
  <c r="O549" i="1"/>
  <c r="O551" i="1"/>
  <c r="O554" i="1"/>
  <c r="O553" i="1"/>
  <c r="O552" i="1"/>
  <c r="O555" i="1"/>
  <c r="O558" i="1"/>
  <c r="O556" i="1"/>
  <c r="O557" i="1"/>
  <c r="O559" i="1"/>
  <c r="O562" i="1"/>
  <c r="O561" i="1"/>
  <c r="O560" i="1"/>
  <c r="O563" i="1"/>
  <c r="O566" i="1"/>
  <c r="O565" i="1"/>
  <c r="O564" i="1"/>
  <c r="O567" i="1"/>
  <c r="O570" i="1"/>
  <c r="O568" i="1"/>
  <c r="O569" i="1"/>
  <c r="O571" i="1"/>
  <c r="O574" i="1"/>
  <c r="O572" i="1"/>
  <c r="O573" i="1"/>
  <c r="O575" i="1"/>
  <c r="O578" i="1"/>
  <c r="O576" i="1"/>
  <c r="O577" i="1"/>
  <c r="O579" i="1"/>
  <c r="O582" i="1"/>
  <c r="O581" i="1"/>
  <c r="O580" i="1"/>
  <c r="O583" i="1"/>
  <c r="O586" i="1"/>
  <c r="O585" i="1"/>
  <c r="O584" i="1"/>
  <c r="O587" i="1"/>
  <c r="O590" i="1"/>
  <c r="O588" i="1"/>
  <c r="O589" i="1"/>
  <c r="O591" i="1"/>
  <c r="O594" i="1"/>
  <c r="O592" i="1"/>
  <c r="O593" i="1"/>
  <c r="O595" i="1"/>
  <c r="O598" i="1"/>
  <c r="O597" i="1"/>
  <c r="O596" i="1"/>
  <c r="O599" i="1"/>
  <c r="O602" i="1"/>
  <c r="O600" i="1"/>
  <c r="O601" i="1"/>
  <c r="O603" i="1"/>
  <c r="O606" i="1"/>
  <c r="O605" i="1"/>
  <c r="O604" i="1"/>
  <c r="O607" i="1"/>
  <c r="O610" i="1"/>
  <c r="O608" i="1"/>
  <c r="O609" i="1"/>
  <c r="O611" i="1"/>
  <c r="O615" i="1"/>
  <c r="O34" i="1"/>
  <c r="B63" i="4"/>
  <c r="BL63" i="4"/>
  <c r="BL64" i="4"/>
  <c r="BL65" i="4"/>
  <c r="BL66" i="4"/>
  <c r="BL67" i="4"/>
  <c r="BL68" i="4"/>
  <c r="BL69" i="4"/>
  <c r="BL70" i="4"/>
  <c r="BL71" i="4"/>
  <c r="BL72" i="4"/>
  <c r="BL73" i="4"/>
  <c r="BL74" i="4"/>
  <c r="BL75" i="4"/>
  <c r="BL76" i="4"/>
  <c r="BL77" i="4"/>
  <c r="BL78" i="4"/>
  <c r="BL79" i="4"/>
  <c r="BL80" i="4"/>
  <c r="BK81" i="4"/>
  <c r="BS82" i="4"/>
  <c r="CJ83" i="4"/>
  <c r="CA83" i="4"/>
  <c r="BS83" i="4"/>
  <c r="BT83" i="4"/>
  <c r="BW51" i="4"/>
  <c r="CD51" i="4"/>
  <c r="CE51" i="4"/>
  <c r="CF51" i="4"/>
  <c r="BW52" i="4"/>
  <c r="CD52" i="4"/>
  <c r="CE52" i="4"/>
  <c r="CF52" i="4"/>
  <c r="BW53" i="4"/>
  <c r="CD53" i="4"/>
  <c r="CE53" i="4"/>
  <c r="CF53" i="4"/>
  <c r="BW54" i="4"/>
  <c r="CD54" i="4"/>
  <c r="CE54" i="4"/>
  <c r="CF54" i="4"/>
  <c r="BW55" i="4"/>
  <c r="CD55" i="4"/>
  <c r="CE55" i="4"/>
  <c r="CF55" i="4"/>
  <c r="BW56" i="4"/>
  <c r="CD56" i="4"/>
  <c r="CE56" i="4"/>
  <c r="CF56" i="4"/>
  <c r="BW57" i="4"/>
  <c r="CD57" i="4"/>
  <c r="CE57" i="4"/>
  <c r="CF57" i="4"/>
  <c r="BW58" i="4"/>
  <c r="CD58" i="4"/>
  <c r="CE58" i="4"/>
  <c r="CF58" i="4"/>
  <c r="CF59" i="4"/>
  <c r="CF60" i="4"/>
  <c r="CF61" i="4"/>
  <c r="CF62" i="4"/>
  <c r="CF63" i="4"/>
  <c r="CF64" i="4"/>
  <c r="CF65" i="4"/>
  <c r="CF66" i="4"/>
  <c r="CF67" i="4"/>
  <c r="CF68" i="4"/>
  <c r="CF69" i="4"/>
  <c r="CF70" i="4"/>
  <c r="CF71" i="4"/>
  <c r="CF72" i="4"/>
  <c r="CF73" i="4"/>
  <c r="CF74" i="4"/>
  <c r="CF75" i="4"/>
  <c r="CF76" i="4"/>
  <c r="CF77" i="4"/>
  <c r="CF78" i="4"/>
  <c r="CF79" i="4"/>
  <c r="CF80" i="4"/>
  <c r="CE59" i="4"/>
  <c r="CE60" i="4"/>
  <c r="CE61" i="4"/>
  <c r="CE62" i="4"/>
  <c r="CE63" i="4"/>
  <c r="CE64" i="4"/>
  <c r="CE65" i="4"/>
  <c r="CE66" i="4"/>
  <c r="CE67" i="4"/>
  <c r="CE68" i="4"/>
  <c r="CE69" i="4"/>
  <c r="CE70" i="4"/>
  <c r="CE71" i="4"/>
  <c r="CE72" i="4"/>
  <c r="CE73" i="4"/>
  <c r="CE74" i="4"/>
  <c r="CE75" i="4"/>
  <c r="CE76" i="4"/>
  <c r="CE77" i="4"/>
  <c r="CE78" i="4"/>
  <c r="CE79" i="4"/>
  <c r="CE80" i="4"/>
  <c r="BV83" i="4"/>
  <c r="CZ62" i="4"/>
  <c r="CZ63" i="4"/>
  <c r="CZ64" i="4"/>
  <c r="DC65" i="4"/>
  <c r="DD62" i="4"/>
  <c r="DD65" i="4"/>
  <c r="DD63" i="4"/>
  <c r="DE62" i="4"/>
  <c r="DE65" i="4"/>
  <c r="DE64" i="4"/>
  <c r="DF62" i="4"/>
  <c r="DF65" i="4"/>
  <c r="DF63" i="4"/>
  <c r="DG62" i="4"/>
  <c r="DG65" i="4"/>
  <c r="DG64" i="4"/>
  <c r="DH62" i="4"/>
  <c r="DH65" i="4"/>
  <c r="DH63" i="4"/>
  <c r="DI62" i="4"/>
  <c r="DI65" i="4"/>
  <c r="DI63" i="4"/>
  <c r="DI64" i="4"/>
  <c r="DJ62" i="4"/>
  <c r="DJ65" i="4"/>
  <c r="DJ63" i="4"/>
  <c r="DK62" i="4"/>
  <c r="DK65" i="4"/>
  <c r="DK64" i="4"/>
  <c r="DL62" i="4"/>
  <c r="DL65" i="4"/>
  <c r="DL63" i="4"/>
  <c r="DL64" i="4"/>
  <c r="DM62" i="4"/>
  <c r="DM65" i="4"/>
  <c r="DM64" i="4"/>
  <c r="DM63" i="4"/>
  <c r="DN62" i="4"/>
  <c r="DN65" i="4"/>
  <c r="DN64" i="4"/>
  <c r="DN63" i="4"/>
  <c r="DO62" i="4"/>
  <c r="DO65" i="4"/>
  <c r="DO64" i="4"/>
  <c r="DO63" i="4"/>
  <c r="DP62" i="4"/>
  <c r="DP65" i="4"/>
  <c r="DP64" i="4"/>
  <c r="DP63" i="4"/>
  <c r="DQ62" i="4"/>
  <c r="DQ65" i="4"/>
  <c r="DQ63" i="4"/>
  <c r="DQ64" i="4"/>
  <c r="DR62" i="4"/>
  <c r="DR65" i="4"/>
  <c r="DR63" i="4"/>
  <c r="DR64" i="4"/>
  <c r="DS62" i="4"/>
  <c r="DS65" i="4"/>
  <c r="DS63" i="4"/>
  <c r="DS64" i="4"/>
  <c r="DT62" i="4"/>
  <c r="DT65" i="4"/>
  <c r="DT64" i="4"/>
  <c r="DT63" i="4"/>
  <c r="DU62" i="4"/>
  <c r="DU65" i="4"/>
  <c r="DU64" i="4"/>
  <c r="DU63" i="4"/>
  <c r="DV62" i="4"/>
  <c r="DV65" i="4"/>
  <c r="DV64" i="4"/>
  <c r="DV63" i="4"/>
  <c r="DW62" i="4"/>
  <c r="DW65" i="4"/>
  <c r="DW64" i="4"/>
  <c r="DW63" i="4"/>
  <c r="DX62" i="4"/>
  <c r="DX65" i="4"/>
  <c r="DX64" i="4"/>
  <c r="DX63" i="4"/>
  <c r="DY62" i="4"/>
  <c r="DY65" i="4"/>
  <c r="DY64" i="4"/>
  <c r="DY63" i="4"/>
  <c r="DZ62" i="4"/>
  <c r="DZ65" i="4"/>
  <c r="DZ64" i="4"/>
  <c r="DZ63" i="4"/>
  <c r="EA62" i="4"/>
  <c r="EA65" i="4"/>
  <c r="EA64" i="4"/>
  <c r="EA63" i="4"/>
  <c r="EB62" i="4"/>
  <c r="EB65" i="4"/>
  <c r="EB64" i="4"/>
  <c r="EB63" i="4"/>
  <c r="EC62" i="4"/>
  <c r="CX65" i="4"/>
  <c r="BL83" i="4"/>
  <c r="C522" i="1"/>
  <c r="C526" i="1"/>
  <c r="C527" i="1"/>
  <c r="C530" i="1"/>
  <c r="C528" i="1"/>
  <c r="C531" i="1"/>
  <c r="C534" i="1"/>
  <c r="C533" i="1"/>
  <c r="C532" i="1"/>
  <c r="C535" i="1"/>
  <c r="C538" i="1"/>
  <c r="C536" i="1"/>
  <c r="C537" i="1"/>
  <c r="C539" i="1"/>
  <c r="C542" i="1"/>
  <c r="C541" i="1"/>
  <c r="C540" i="1"/>
  <c r="C543" i="1"/>
  <c r="C546" i="1"/>
  <c r="C544" i="1"/>
  <c r="C545" i="1"/>
  <c r="C547" i="1"/>
  <c r="C550" i="1"/>
  <c r="C548" i="1"/>
  <c r="C549" i="1"/>
  <c r="C551" i="1"/>
  <c r="C554" i="1"/>
  <c r="C552" i="1"/>
  <c r="C553" i="1"/>
  <c r="C555" i="1"/>
  <c r="C558" i="1"/>
  <c r="C557" i="1"/>
  <c r="C556" i="1"/>
  <c r="C559" i="1"/>
  <c r="C562" i="1"/>
  <c r="C560" i="1"/>
  <c r="C561" i="1"/>
  <c r="C563" i="1"/>
  <c r="C566" i="1"/>
  <c r="C565" i="1"/>
  <c r="C567" i="1"/>
  <c r="C570" i="1"/>
  <c r="C569" i="1"/>
  <c r="C568" i="1"/>
  <c r="C571" i="1"/>
  <c r="C574" i="1"/>
  <c r="C572" i="1"/>
  <c r="C573" i="1"/>
  <c r="C575" i="1"/>
  <c r="C578" i="1"/>
  <c r="C576" i="1"/>
  <c r="C577" i="1"/>
  <c r="C579" i="1"/>
  <c r="C582" i="1"/>
  <c r="C580" i="1"/>
  <c r="C581" i="1"/>
  <c r="C583" i="1"/>
  <c r="C586" i="1"/>
  <c r="C585" i="1"/>
  <c r="C584" i="1"/>
  <c r="C587" i="1"/>
  <c r="C590" i="1"/>
  <c r="C589" i="1"/>
  <c r="C591" i="1"/>
  <c r="C594" i="1"/>
  <c r="C592" i="1"/>
  <c r="C593" i="1"/>
  <c r="C595" i="1"/>
  <c r="C598" i="1"/>
  <c r="C597" i="1"/>
  <c r="C596" i="1"/>
  <c r="C599" i="1"/>
  <c r="C602" i="1"/>
  <c r="C601" i="1"/>
  <c r="C600" i="1"/>
  <c r="C603" i="1"/>
  <c r="C606" i="1"/>
  <c r="C604" i="1"/>
  <c r="C605" i="1"/>
  <c r="C607" i="1"/>
  <c r="C610" i="1"/>
  <c r="C608" i="1"/>
  <c r="C609" i="1"/>
  <c r="C611" i="1"/>
  <c r="C615" i="1"/>
  <c r="C616" i="1"/>
  <c r="C617" i="1"/>
  <c r="C618" i="1"/>
  <c r="C619" i="1"/>
  <c r="C35" i="1"/>
  <c r="C45" i="1"/>
  <c r="C51" i="4"/>
  <c r="BM51" i="4"/>
  <c r="CN51" i="4"/>
  <c r="D522" i="1"/>
  <c r="D526" i="1"/>
  <c r="D527" i="1"/>
  <c r="D530" i="1"/>
  <c r="D529" i="1"/>
  <c r="D531" i="1"/>
  <c r="D534" i="1"/>
  <c r="D533" i="1"/>
  <c r="D535" i="1"/>
  <c r="D538" i="1"/>
  <c r="D536" i="1"/>
  <c r="D539" i="1"/>
  <c r="D542" i="1"/>
  <c r="D540" i="1"/>
  <c r="D543" i="1"/>
  <c r="D546" i="1"/>
  <c r="D544" i="1"/>
  <c r="D547" i="1"/>
  <c r="D550" i="1"/>
  <c r="D548" i="1"/>
  <c r="D551" i="1"/>
  <c r="D554" i="1"/>
  <c r="D552" i="1"/>
  <c r="D555" i="1"/>
  <c r="D558" i="1"/>
  <c r="D557" i="1"/>
  <c r="D559" i="1"/>
  <c r="D562" i="1"/>
  <c r="D561" i="1"/>
  <c r="D563" i="1"/>
  <c r="D566" i="1"/>
  <c r="D564" i="1"/>
  <c r="D567" i="1"/>
  <c r="D570" i="1"/>
  <c r="D569" i="1"/>
  <c r="D571" i="1"/>
  <c r="D574" i="1"/>
  <c r="D572" i="1"/>
  <c r="D575" i="1"/>
  <c r="D578" i="1"/>
  <c r="D577" i="1"/>
  <c r="D579" i="1"/>
  <c r="D582" i="1"/>
  <c r="D581" i="1"/>
  <c r="D583" i="1"/>
  <c r="D586" i="1"/>
  <c r="D585" i="1"/>
  <c r="D587" i="1"/>
  <c r="D590" i="1"/>
  <c r="D588" i="1"/>
  <c r="D591" i="1"/>
  <c r="D594" i="1"/>
  <c r="D593" i="1"/>
  <c r="D595" i="1"/>
  <c r="D598" i="1"/>
  <c r="D597" i="1"/>
  <c r="D599" i="1"/>
  <c r="D602" i="1"/>
  <c r="D600" i="1"/>
  <c r="D603" i="1"/>
  <c r="D606" i="1"/>
  <c r="D604" i="1"/>
  <c r="D607" i="1"/>
  <c r="D610" i="1"/>
  <c r="D609" i="1"/>
  <c r="D611" i="1"/>
  <c r="D615" i="1"/>
  <c r="D616" i="1"/>
  <c r="D617" i="1"/>
  <c r="D618" i="1"/>
  <c r="D619" i="1"/>
  <c r="D35" i="1"/>
  <c r="D45" i="1"/>
  <c r="C52" i="4"/>
  <c r="BM52" i="4"/>
  <c r="CN52" i="4"/>
  <c r="E522" i="1"/>
  <c r="E526" i="1"/>
  <c r="E527" i="1"/>
  <c r="E530" i="1"/>
  <c r="E528" i="1"/>
  <c r="E531" i="1"/>
  <c r="E534" i="1"/>
  <c r="E533" i="1"/>
  <c r="E535" i="1"/>
  <c r="E538" i="1"/>
  <c r="E536" i="1"/>
  <c r="E539" i="1"/>
  <c r="E542" i="1"/>
  <c r="E541" i="1"/>
  <c r="E543" i="1"/>
  <c r="E546" i="1"/>
  <c r="E545" i="1"/>
  <c r="E547" i="1"/>
  <c r="E550" i="1"/>
  <c r="E548" i="1"/>
  <c r="E551" i="1"/>
  <c r="E554" i="1"/>
  <c r="E553" i="1"/>
  <c r="E555" i="1"/>
  <c r="E558" i="1"/>
  <c r="E557" i="1"/>
  <c r="E559" i="1"/>
  <c r="E562" i="1"/>
  <c r="E560" i="1"/>
  <c r="E563" i="1"/>
  <c r="E566" i="1"/>
  <c r="E564" i="1"/>
  <c r="E567" i="1"/>
  <c r="E570" i="1"/>
  <c r="E568" i="1"/>
  <c r="E571" i="1"/>
  <c r="E574" i="1"/>
  <c r="E572" i="1"/>
  <c r="E575" i="1"/>
  <c r="E578" i="1"/>
  <c r="E576" i="1"/>
  <c r="E579" i="1"/>
  <c r="E582" i="1"/>
  <c r="E581" i="1"/>
  <c r="E583" i="1"/>
  <c r="E586" i="1"/>
  <c r="E585" i="1"/>
  <c r="E587" i="1"/>
  <c r="E590" i="1"/>
  <c r="E589" i="1"/>
  <c r="E591" i="1"/>
  <c r="E594" i="1"/>
  <c r="E593" i="1"/>
  <c r="E595" i="1"/>
  <c r="E598" i="1"/>
  <c r="E596" i="1"/>
  <c r="E599" i="1"/>
  <c r="E602" i="1"/>
  <c r="E600" i="1"/>
  <c r="E603" i="1"/>
  <c r="E606" i="1"/>
  <c r="E605" i="1"/>
  <c r="E607" i="1"/>
  <c r="E610" i="1"/>
  <c r="E608" i="1"/>
  <c r="E611" i="1"/>
  <c r="E615" i="1"/>
  <c r="E616" i="1"/>
  <c r="E617" i="1"/>
  <c r="E618" i="1"/>
  <c r="E619" i="1"/>
  <c r="E35" i="1"/>
  <c r="E45" i="1"/>
  <c r="C53" i="4"/>
  <c r="BM53" i="4"/>
  <c r="CN53" i="4"/>
  <c r="BW59" i="4"/>
  <c r="CD59" i="4"/>
  <c r="CD60" i="4"/>
  <c r="BW61" i="4"/>
  <c r="CD61" i="4"/>
  <c r="CD62" i="4"/>
  <c r="BW63" i="4"/>
  <c r="CD63" i="4"/>
  <c r="CD64" i="4"/>
  <c r="DG63" i="4"/>
  <c r="DH64" i="4"/>
  <c r="DJ64" i="4"/>
  <c r="DK63" i="4"/>
  <c r="F616" i="1"/>
  <c r="F617" i="1"/>
  <c r="F618" i="1"/>
  <c r="F619" i="1"/>
  <c r="F35" i="1"/>
  <c r="F45" i="1"/>
  <c r="C54" i="4"/>
  <c r="BM54" i="4"/>
  <c r="CN54" i="4"/>
  <c r="G576" i="1"/>
  <c r="G604" i="1"/>
  <c r="G616" i="1"/>
  <c r="G617" i="1"/>
  <c r="G618" i="1"/>
  <c r="G619" i="1"/>
  <c r="G35" i="1"/>
  <c r="G45" i="1"/>
  <c r="C55" i="4"/>
  <c r="BM55" i="4"/>
  <c r="CN55" i="4"/>
  <c r="H560" i="1"/>
  <c r="H616" i="1"/>
  <c r="H617" i="1"/>
  <c r="H618" i="1"/>
  <c r="H619" i="1"/>
  <c r="H35" i="1"/>
  <c r="H45" i="1"/>
  <c r="C56" i="4"/>
  <c r="BM56" i="4"/>
  <c r="CN56" i="4"/>
  <c r="I540" i="1"/>
  <c r="I545" i="1"/>
  <c r="I616" i="1"/>
  <c r="I617" i="1"/>
  <c r="I618" i="1"/>
  <c r="I619" i="1"/>
  <c r="I35" i="1"/>
  <c r="I45" i="1"/>
  <c r="C57" i="4"/>
  <c r="BM57" i="4"/>
  <c r="CN57" i="4"/>
  <c r="J545" i="1"/>
  <c r="J616" i="1"/>
  <c r="J617" i="1"/>
  <c r="J618" i="1"/>
  <c r="J619" i="1"/>
  <c r="J35" i="1"/>
  <c r="J45" i="1"/>
  <c r="C58" i="4"/>
  <c r="BM58" i="4"/>
  <c r="CN58" i="4"/>
  <c r="K616" i="1"/>
  <c r="K617" i="1"/>
  <c r="K618" i="1"/>
  <c r="K619" i="1"/>
  <c r="K35" i="1"/>
  <c r="K45" i="1"/>
  <c r="C59" i="4"/>
  <c r="BM59" i="4"/>
  <c r="CN59" i="4"/>
  <c r="BM60" i="4"/>
  <c r="CN60" i="4"/>
  <c r="M540" i="1"/>
  <c r="M616" i="1"/>
  <c r="M617" i="1"/>
  <c r="M618" i="1"/>
  <c r="M619" i="1"/>
  <c r="M35" i="1"/>
  <c r="M45" i="1"/>
  <c r="C61" i="4"/>
  <c r="BM61" i="4"/>
  <c r="CN61" i="4"/>
  <c r="BM62" i="4"/>
  <c r="CN62" i="4"/>
  <c r="O540" i="1"/>
  <c r="O545" i="1"/>
  <c r="O616" i="1"/>
  <c r="O617" i="1"/>
  <c r="O618" i="1"/>
  <c r="O619" i="1"/>
  <c r="O35" i="1"/>
  <c r="O45" i="1"/>
  <c r="C63" i="4"/>
  <c r="BM63" i="4"/>
  <c r="CN63" i="4"/>
  <c r="BM64" i="4"/>
  <c r="CN64" i="4"/>
  <c r="CN65" i="4"/>
  <c r="CN66" i="4"/>
  <c r="CN67" i="4"/>
  <c r="CN68" i="4"/>
  <c r="CN69" i="4"/>
  <c r="CN70" i="4"/>
  <c r="CN71" i="4"/>
  <c r="CN72" i="4"/>
  <c r="CN73" i="4"/>
  <c r="CN74" i="4"/>
  <c r="CN75" i="4"/>
  <c r="CN76" i="4"/>
  <c r="CN77" i="4"/>
  <c r="CN78" i="4"/>
  <c r="CN79" i="4"/>
  <c r="CN80" i="4"/>
  <c r="CN83" i="4"/>
  <c r="BM82" i="4"/>
  <c r="CD83" i="4"/>
  <c r="CE83" i="4"/>
  <c r="BV84" i="4"/>
  <c r="CD84" i="4"/>
  <c r="CE84" i="4"/>
  <c r="BV85" i="4"/>
  <c r="BV86" i="4"/>
  <c r="CD86" i="4"/>
  <c r="CE86" i="4"/>
  <c r="CE87" i="4"/>
  <c r="CE85" i="4"/>
  <c r="F24" i="1"/>
  <c r="F336" i="1"/>
  <c r="F79" i="4"/>
  <c r="O52" i="4"/>
  <c r="T53" i="4"/>
  <c r="X79" i="4"/>
  <c r="O70" i="4"/>
  <c r="O71" i="4"/>
  <c r="V79" i="4"/>
  <c r="O72" i="4"/>
  <c r="W79" i="4"/>
  <c r="F332" i="1"/>
  <c r="F259" i="1"/>
  <c r="F333" i="1"/>
  <c r="F334" i="1"/>
  <c r="F25" i="1"/>
  <c r="F255" i="1"/>
  <c r="F335" i="1"/>
  <c r="F337" i="1"/>
  <c r="F80" i="4"/>
  <c r="X80" i="4"/>
  <c r="V80" i="4"/>
  <c r="W80" i="4"/>
  <c r="F78" i="4"/>
  <c r="X78" i="4"/>
  <c r="W78" i="4"/>
  <c r="V78" i="4"/>
  <c r="F77" i="4"/>
  <c r="X77" i="4"/>
  <c r="W77" i="4"/>
  <c r="V77" i="4"/>
  <c r="F76" i="4"/>
  <c r="X76" i="4"/>
  <c r="W76" i="4"/>
  <c r="V76" i="4"/>
  <c r="F75" i="4"/>
  <c r="X75" i="4"/>
  <c r="W75" i="4"/>
  <c r="V75" i="4"/>
  <c r="F74" i="4"/>
  <c r="X74" i="4"/>
  <c r="W74" i="4"/>
  <c r="V74" i="4"/>
  <c r="F37" i="1"/>
  <c r="F47" i="1"/>
  <c r="E54" i="4"/>
  <c r="BP54" i="4"/>
  <c r="F73" i="4"/>
  <c r="X73" i="4"/>
  <c r="W73" i="4"/>
  <c r="V73" i="4"/>
  <c r="F46" i="1"/>
  <c r="D54" i="4"/>
  <c r="BO54" i="4"/>
  <c r="F72" i="4"/>
  <c r="X72" i="4"/>
  <c r="W72" i="4"/>
  <c r="V72" i="4"/>
  <c r="F71" i="4"/>
  <c r="X71" i="4"/>
  <c r="W71" i="4"/>
  <c r="V71" i="4"/>
  <c r="F70" i="4"/>
  <c r="X70" i="4"/>
  <c r="W70" i="4"/>
  <c r="V70" i="4"/>
  <c r="F69" i="4"/>
  <c r="X69" i="4"/>
  <c r="W69" i="4"/>
  <c r="V69" i="4"/>
  <c r="A54" i="4"/>
  <c r="BK54" i="4"/>
  <c r="F68" i="4"/>
  <c r="X68" i="4"/>
  <c r="W68" i="4"/>
  <c r="V68" i="4"/>
  <c r="F67" i="4"/>
  <c r="X67" i="4"/>
  <c r="W67" i="4"/>
  <c r="V67" i="4"/>
  <c r="F65" i="4"/>
  <c r="X65" i="4"/>
  <c r="W65" i="4"/>
  <c r="P24" i="1"/>
  <c r="P336" i="1"/>
  <c r="F64" i="4"/>
  <c r="X64" i="4"/>
  <c r="W64" i="4"/>
  <c r="X63" i="4"/>
  <c r="W63" i="4"/>
  <c r="F62" i="4"/>
  <c r="X62" i="4"/>
  <c r="W62" i="4"/>
  <c r="X61" i="4"/>
  <c r="W61" i="4"/>
  <c r="F60" i="4"/>
  <c r="X60" i="4"/>
  <c r="W60" i="4"/>
  <c r="X59" i="4"/>
  <c r="W59" i="4"/>
  <c r="X58" i="4"/>
  <c r="W58" i="4"/>
  <c r="X57" i="4"/>
  <c r="W57" i="4"/>
  <c r="X56" i="4"/>
  <c r="W56" i="4"/>
  <c r="X55" i="4"/>
  <c r="W55" i="4"/>
  <c r="X54" i="4"/>
  <c r="W54" i="4"/>
  <c r="E24" i="1"/>
  <c r="E336" i="1"/>
  <c r="X53" i="4"/>
  <c r="W53" i="4"/>
  <c r="D24" i="1"/>
  <c r="D336" i="1"/>
  <c r="X52" i="4"/>
  <c r="W52" i="4"/>
  <c r="C24" i="1"/>
  <c r="C336" i="1"/>
  <c r="X51" i="4"/>
  <c r="W51" i="4"/>
  <c r="F66" i="4"/>
  <c r="X66" i="4"/>
  <c r="W66" i="4"/>
  <c r="V57" i="4"/>
  <c r="V56" i="4"/>
  <c r="V55" i="4"/>
  <c r="V54" i="4"/>
  <c r="V53" i="4"/>
  <c r="V52" i="4"/>
  <c r="V51" i="4"/>
  <c r="V58" i="4"/>
  <c r="V59" i="4"/>
  <c r="V60" i="4"/>
  <c r="V61" i="4"/>
  <c r="V62" i="4"/>
  <c r="V63" i="4"/>
  <c r="V64" i="4"/>
  <c r="V65" i="4"/>
  <c r="V66" i="4"/>
  <c r="T61" i="4"/>
  <c r="O80" i="4"/>
  <c r="T57" i="4"/>
  <c r="O76" i="4"/>
  <c r="O78" i="4"/>
  <c r="O79" i="4"/>
  <c r="O74" i="4"/>
  <c r="O75" i="4"/>
  <c r="BE91" i="4"/>
  <c r="AY91" i="4"/>
  <c r="AS91" i="4"/>
  <c r="E747" i="1"/>
  <c r="E751" i="1"/>
  <c r="E759" i="1"/>
  <c r="E763" i="1"/>
  <c r="E779" i="1"/>
  <c r="E783" i="1"/>
  <c r="E787" i="1"/>
  <c r="E799" i="1"/>
  <c r="E811" i="1"/>
  <c r="E540" i="1"/>
  <c r="E544" i="1"/>
  <c r="E552" i="1"/>
  <c r="E556" i="1"/>
  <c r="E561" i="1"/>
  <c r="E565" i="1"/>
  <c r="E569" i="1"/>
  <c r="E573" i="1"/>
  <c r="E580" i="1"/>
  <c r="E584" i="1"/>
  <c r="E588" i="1"/>
  <c r="E592" i="1"/>
  <c r="E597" i="1"/>
  <c r="E601" i="1"/>
  <c r="E604" i="1"/>
  <c r="E609" i="1"/>
  <c r="E34" i="1"/>
  <c r="E332" i="1"/>
  <c r="E259" i="1"/>
  <c r="E333" i="1"/>
  <c r="E334" i="1"/>
  <c r="E25" i="1"/>
  <c r="E255" i="1"/>
  <c r="E335" i="1"/>
  <c r="E337" i="1"/>
  <c r="E549" i="1"/>
  <c r="E577" i="1"/>
  <c r="G540" i="1"/>
  <c r="C46" i="1"/>
  <c r="D51" i="4"/>
  <c r="BO51" i="4"/>
  <c r="BY51" i="4"/>
  <c r="BX51" i="4"/>
  <c r="CG51" i="4"/>
  <c r="CH51" i="4"/>
  <c r="CI51" i="4"/>
  <c r="BY52" i="4"/>
  <c r="BX52" i="4"/>
  <c r="CG52" i="4"/>
  <c r="CH52" i="4"/>
  <c r="CI52" i="4"/>
  <c r="BY53" i="4"/>
  <c r="BX53" i="4"/>
  <c r="CG53" i="4"/>
  <c r="CH53" i="4"/>
  <c r="CI53" i="4"/>
  <c r="BY54" i="4"/>
  <c r="BX54" i="4"/>
  <c r="CG54" i="4"/>
  <c r="CH54" i="4"/>
  <c r="CI54" i="4"/>
  <c r="BY55" i="4"/>
  <c r="BX55" i="4"/>
  <c r="CG55" i="4"/>
  <c r="CH55" i="4"/>
  <c r="CI55" i="4"/>
  <c r="BY56" i="4"/>
  <c r="BX56" i="4"/>
  <c r="CG56" i="4"/>
  <c r="CH56" i="4"/>
  <c r="CI56" i="4"/>
  <c r="BY57" i="4"/>
  <c r="BX57" i="4"/>
  <c r="CG57" i="4"/>
  <c r="CH57" i="4"/>
  <c r="CI57" i="4"/>
  <c r="BY58" i="4"/>
  <c r="BX58" i="4"/>
  <c r="CG58" i="4"/>
  <c r="CH58" i="4"/>
  <c r="CI58" i="4"/>
  <c r="BY59" i="4"/>
  <c r="BX59" i="4"/>
  <c r="CG59" i="4"/>
  <c r="CH59" i="4"/>
  <c r="CI59" i="4"/>
  <c r="CG60" i="4"/>
  <c r="CH60" i="4"/>
  <c r="CI60" i="4"/>
  <c r="CG64" i="4"/>
  <c r="CH64" i="4"/>
  <c r="CI64" i="4"/>
  <c r="CG62" i="4"/>
  <c r="CH62" i="4"/>
  <c r="CI62" i="4"/>
  <c r="BX61" i="4"/>
  <c r="BY61" i="4"/>
  <c r="CG61" i="4"/>
  <c r="CH61" i="4"/>
  <c r="CI61" i="4"/>
  <c r="BX63" i="4"/>
  <c r="BY63" i="4"/>
  <c r="CG63" i="4"/>
  <c r="CH63" i="4"/>
  <c r="CI63" i="4"/>
  <c r="CI65" i="4"/>
  <c r="CI66" i="4"/>
  <c r="CI67" i="4"/>
  <c r="CI68" i="4"/>
  <c r="CI69" i="4"/>
  <c r="CI70" i="4"/>
  <c r="CI71" i="4"/>
  <c r="CI72" i="4"/>
  <c r="CI73" i="4"/>
  <c r="CI74" i="4"/>
  <c r="CI75" i="4"/>
  <c r="CI76" i="4"/>
  <c r="CI77" i="4"/>
  <c r="CI78" i="4"/>
  <c r="CI79" i="4"/>
  <c r="CI80" i="4"/>
  <c r="CH65" i="4"/>
  <c r="CH66" i="4"/>
  <c r="CH67" i="4"/>
  <c r="CH68" i="4"/>
  <c r="CH69" i="4"/>
  <c r="CH70" i="4"/>
  <c r="CH71" i="4"/>
  <c r="CH72" i="4"/>
  <c r="CH73" i="4"/>
  <c r="CH74" i="4"/>
  <c r="CH75" i="4"/>
  <c r="CH76" i="4"/>
  <c r="CH77" i="4"/>
  <c r="CH78" i="4"/>
  <c r="CH79" i="4"/>
  <c r="CH80" i="4"/>
  <c r="BX83" i="4"/>
  <c r="BO83" i="4"/>
  <c r="C37" i="1"/>
  <c r="C47" i="1"/>
  <c r="E51" i="4"/>
  <c r="BP51" i="4"/>
  <c r="CO51" i="4"/>
  <c r="D46" i="1"/>
  <c r="D52" i="4"/>
  <c r="BO52" i="4"/>
  <c r="D37" i="1"/>
  <c r="D47" i="1"/>
  <c r="E52" i="4"/>
  <c r="BP52" i="4"/>
  <c r="CO52" i="4"/>
  <c r="E46" i="1"/>
  <c r="D53" i="4"/>
  <c r="BO53" i="4"/>
  <c r="E37" i="1"/>
  <c r="E47" i="1"/>
  <c r="E53" i="4"/>
  <c r="BP53" i="4"/>
  <c r="CO53" i="4"/>
  <c r="CO54" i="4"/>
  <c r="G46" i="1"/>
  <c r="D55" i="4"/>
  <c r="BO55" i="4"/>
  <c r="G37" i="1"/>
  <c r="G47" i="1"/>
  <c r="E55" i="4"/>
  <c r="BP55" i="4"/>
  <c r="CO55" i="4"/>
  <c r="H46" i="1"/>
  <c r="D56" i="4"/>
  <c r="BO56" i="4"/>
  <c r="H37" i="1"/>
  <c r="H47" i="1"/>
  <c r="E56" i="4"/>
  <c r="BP56" i="4"/>
  <c r="CO56" i="4"/>
  <c r="I46" i="1"/>
  <c r="D57" i="4"/>
  <c r="BO57" i="4"/>
  <c r="I37" i="1"/>
  <c r="I47" i="1"/>
  <c r="E57" i="4"/>
  <c r="BP57" i="4"/>
  <c r="CO57" i="4"/>
  <c r="J46" i="1"/>
  <c r="D58" i="4"/>
  <c r="BO58" i="4"/>
  <c r="J37" i="1"/>
  <c r="J47" i="1"/>
  <c r="E58" i="4"/>
  <c r="BP58" i="4"/>
  <c r="CO58" i="4"/>
  <c r="K46" i="1"/>
  <c r="D59" i="4"/>
  <c r="BO59" i="4"/>
  <c r="K37" i="1"/>
  <c r="K47" i="1"/>
  <c r="E59" i="4"/>
  <c r="BP59" i="4"/>
  <c r="CO59" i="4"/>
  <c r="BO60" i="4"/>
  <c r="BP60" i="4"/>
  <c r="CO60" i="4"/>
  <c r="M46" i="1"/>
  <c r="D61" i="4"/>
  <c r="BO61" i="4"/>
  <c r="M37" i="1"/>
  <c r="M47" i="1"/>
  <c r="E61" i="4"/>
  <c r="BP61" i="4"/>
  <c r="CO61" i="4"/>
  <c r="BO62" i="4"/>
  <c r="BP62" i="4"/>
  <c r="CO62" i="4"/>
  <c r="O46" i="1"/>
  <c r="D63" i="4"/>
  <c r="BO63" i="4"/>
  <c r="O37" i="1"/>
  <c r="O47" i="1"/>
  <c r="E63" i="4"/>
  <c r="BP63" i="4"/>
  <c r="CO63" i="4"/>
  <c r="BO64" i="4"/>
  <c r="BP64" i="4"/>
  <c r="CO64" i="4"/>
  <c r="CO65" i="4"/>
  <c r="CO66" i="4"/>
  <c r="CO67" i="4"/>
  <c r="CO68" i="4"/>
  <c r="CO69" i="4"/>
  <c r="CO70" i="4"/>
  <c r="CO71" i="4"/>
  <c r="CO72" i="4"/>
  <c r="CO73" i="4"/>
  <c r="CO74" i="4"/>
  <c r="CO75" i="4"/>
  <c r="CO76" i="4"/>
  <c r="CO77" i="4"/>
  <c r="CO78" i="4"/>
  <c r="CO79" i="4"/>
  <c r="CO80" i="4"/>
  <c r="CO83" i="4"/>
  <c r="BP82" i="4"/>
  <c r="CG83" i="4"/>
  <c r="BY83" i="4"/>
  <c r="BP83" i="4"/>
  <c r="BQ83" i="4"/>
  <c r="E656" i="1"/>
  <c r="A51" i="4"/>
  <c r="C564" i="1"/>
  <c r="C588" i="1"/>
  <c r="C34" i="1"/>
  <c r="C332" i="1"/>
  <c r="C259" i="1"/>
  <c r="C333" i="1"/>
  <c r="C334" i="1"/>
  <c r="C25" i="1"/>
  <c r="C255" i="1"/>
  <c r="C335" i="1"/>
  <c r="C337" i="1"/>
  <c r="C235" i="1"/>
  <c r="C213" i="1"/>
  <c r="H51" i="4"/>
  <c r="C59" i="1"/>
  <c r="I51" i="4"/>
  <c r="J51" i="4"/>
  <c r="L51" i="4"/>
  <c r="M51" i="4"/>
  <c r="BK51" i="4"/>
  <c r="CB51" i="4"/>
  <c r="BW60" i="4"/>
  <c r="BX60" i="4"/>
  <c r="BY60" i="4"/>
  <c r="L656" i="1"/>
  <c r="CA60" i="4"/>
  <c r="A52" i="4"/>
  <c r="D735" i="1"/>
  <c r="D739" i="1"/>
  <c r="D763" i="1"/>
  <c r="D767" i="1"/>
  <c r="D771" i="1"/>
  <c r="D779" i="1"/>
  <c r="D783" i="1"/>
  <c r="D795" i="1"/>
  <c r="D803" i="1"/>
  <c r="D807" i="1"/>
  <c r="D811" i="1"/>
  <c r="D528" i="1"/>
  <c r="D532" i="1"/>
  <c r="D537" i="1"/>
  <c r="D541" i="1"/>
  <c r="D545" i="1"/>
  <c r="D549" i="1"/>
  <c r="D553" i="1"/>
  <c r="D556" i="1"/>
  <c r="D560" i="1"/>
  <c r="D568" i="1"/>
  <c r="D573" i="1"/>
  <c r="D576" i="1"/>
  <c r="D580" i="1"/>
  <c r="D584" i="1"/>
  <c r="D589" i="1"/>
  <c r="D592" i="1"/>
  <c r="D596" i="1"/>
  <c r="D601" i="1"/>
  <c r="D605" i="1"/>
  <c r="D608" i="1"/>
  <c r="D34" i="1"/>
  <c r="D332" i="1"/>
  <c r="D259" i="1"/>
  <c r="D333" i="1"/>
  <c r="D334" i="1"/>
  <c r="D25" i="1"/>
  <c r="D255" i="1"/>
  <c r="D335" i="1"/>
  <c r="D337" i="1"/>
  <c r="D565" i="1"/>
  <c r="D656" i="1"/>
  <c r="D235" i="1"/>
  <c r="D213" i="1"/>
  <c r="H52" i="4"/>
  <c r="D59" i="1"/>
  <c r="I52" i="4"/>
  <c r="J52" i="4"/>
  <c r="L52" i="4"/>
  <c r="M52" i="4"/>
  <c r="BZ84" i="4"/>
  <c r="CJ84" i="4"/>
  <c r="CJ85" i="4"/>
  <c r="BZ85" i="4"/>
  <c r="CA85" i="4"/>
  <c r="BS85" i="4"/>
  <c r="CA86" i="4"/>
  <c r="BZ86" i="4"/>
  <c r="CJ86" i="4"/>
  <c r="CJ87" i="4"/>
  <c r="BZ87" i="4"/>
  <c r="CA87" i="4"/>
  <c r="BS87" i="4"/>
  <c r="P52" i="4"/>
  <c r="L49" i="1"/>
  <c r="G60" i="4"/>
  <c r="H553" i="1"/>
  <c r="H584" i="1"/>
  <c r="H608" i="1"/>
  <c r="L733" i="1"/>
  <c r="L734" i="1"/>
  <c r="L737" i="1"/>
  <c r="L735" i="1"/>
  <c r="L736" i="1"/>
  <c r="L738" i="1"/>
  <c r="L741" i="1"/>
  <c r="L740" i="1"/>
  <c r="L739" i="1"/>
  <c r="L742" i="1"/>
  <c r="L745" i="1"/>
  <c r="L743" i="1"/>
  <c r="L744" i="1"/>
  <c r="L746" i="1"/>
  <c r="L749" i="1"/>
  <c r="L747" i="1"/>
  <c r="L748" i="1"/>
  <c r="L750" i="1"/>
  <c r="L753" i="1"/>
  <c r="L752" i="1"/>
  <c r="L751" i="1"/>
  <c r="L754" i="1"/>
  <c r="L757" i="1"/>
  <c r="L755" i="1"/>
  <c r="L756" i="1"/>
  <c r="L758" i="1"/>
  <c r="L761" i="1"/>
  <c r="L760" i="1"/>
  <c r="L759" i="1"/>
  <c r="L762" i="1"/>
  <c r="L765" i="1"/>
  <c r="L763" i="1"/>
  <c r="L764" i="1"/>
  <c r="L766" i="1"/>
  <c r="L769" i="1"/>
  <c r="L768" i="1"/>
  <c r="L767" i="1"/>
  <c r="L770" i="1"/>
  <c r="L773" i="1"/>
  <c r="L772" i="1"/>
  <c r="L771" i="1"/>
  <c r="L774" i="1"/>
  <c r="L777" i="1"/>
  <c r="L776" i="1"/>
  <c r="L775" i="1"/>
  <c r="L778" i="1"/>
  <c r="L781" i="1"/>
  <c r="L779" i="1"/>
  <c r="L780" i="1"/>
  <c r="L782" i="1"/>
  <c r="L785" i="1"/>
  <c r="L784" i="1"/>
  <c r="L783" i="1"/>
  <c r="L786" i="1"/>
  <c r="L789" i="1"/>
  <c r="L788" i="1"/>
  <c r="L787" i="1"/>
  <c r="L790" i="1"/>
  <c r="L793" i="1"/>
  <c r="L792" i="1"/>
  <c r="L791" i="1"/>
  <c r="L794" i="1"/>
  <c r="L797" i="1"/>
  <c r="L796" i="1"/>
  <c r="L795" i="1"/>
  <c r="L798" i="1"/>
  <c r="L801" i="1"/>
  <c r="L799" i="1"/>
  <c r="L800" i="1"/>
  <c r="L802" i="1"/>
  <c r="L805" i="1"/>
  <c r="L804" i="1"/>
  <c r="L803" i="1"/>
  <c r="L806" i="1"/>
  <c r="L809" i="1"/>
  <c r="L808" i="1"/>
  <c r="L807" i="1"/>
  <c r="L810" i="1"/>
  <c r="L813" i="1"/>
  <c r="L812" i="1"/>
  <c r="L811" i="1"/>
  <c r="L814" i="1"/>
  <c r="L817" i="1"/>
  <c r="L815" i="1"/>
  <c r="L816" i="1"/>
  <c r="L818" i="1"/>
  <c r="L822" i="1"/>
  <c r="L44" i="1"/>
  <c r="L522" i="1"/>
  <c r="L526" i="1"/>
  <c r="L527" i="1"/>
  <c r="L530" i="1"/>
  <c r="L528" i="1"/>
  <c r="L529" i="1"/>
  <c r="L531" i="1"/>
  <c r="L534" i="1"/>
  <c r="L533" i="1"/>
  <c r="L532" i="1"/>
  <c r="L535" i="1"/>
  <c r="L538" i="1"/>
  <c r="L536" i="1"/>
  <c r="L537" i="1"/>
  <c r="L539" i="1"/>
  <c r="L542" i="1"/>
  <c r="L541" i="1"/>
  <c r="L540" i="1"/>
  <c r="L543" i="1"/>
  <c r="L546" i="1"/>
  <c r="L544" i="1"/>
  <c r="L547" i="1"/>
  <c r="L550" i="1"/>
  <c r="L548" i="1"/>
  <c r="L549" i="1"/>
  <c r="L551" i="1"/>
  <c r="L554" i="1"/>
  <c r="L553" i="1"/>
  <c r="L552" i="1"/>
  <c r="L555" i="1"/>
  <c r="L558" i="1"/>
  <c r="L556" i="1"/>
  <c r="L557" i="1"/>
  <c r="L559" i="1"/>
  <c r="L562" i="1"/>
  <c r="L560" i="1"/>
  <c r="L561" i="1"/>
  <c r="L563" i="1"/>
  <c r="L566" i="1"/>
  <c r="L564" i="1"/>
  <c r="L565" i="1"/>
  <c r="L567" i="1"/>
  <c r="L570" i="1"/>
  <c r="L568" i="1"/>
  <c r="L569" i="1"/>
  <c r="L571" i="1"/>
  <c r="L574" i="1"/>
  <c r="L572" i="1"/>
  <c r="L573" i="1"/>
  <c r="L575" i="1"/>
  <c r="L578" i="1"/>
  <c r="L577" i="1"/>
  <c r="L576" i="1"/>
  <c r="L579" i="1"/>
  <c r="L582" i="1"/>
  <c r="L581" i="1"/>
  <c r="L580" i="1"/>
  <c r="L583" i="1"/>
  <c r="L586" i="1"/>
  <c r="L585" i="1"/>
  <c r="L584" i="1"/>
  <c r="L587" i="1"/>
  <c r="L590" i="1"/>
  <c r="L588" i="1"/>
  <c r="L589" i="1"/>
  <c r="L591" i="1"/>
  <c r="L594" i="1"/>
  <c r="L593" i="1"/>
  <c r="L592" i="1"/>
  <c r="L595" i="1"/>
  <c r="L598" i="1"/>
  <c r="L597" i="1"/>
  <c r="L596" i="1"/>
  <c r="L599" i="1"/>
  <c r="L602" i="1"/>
  <c r="L600" i="1"/>
  <c r="L601" i="1"/>
  <c r="L603" i="1"/>
  <c r="L606" i="1"/>
  <c r="L604" i="1"/>
  <c r="L605" i="1"/>
  <c r="L607" i="1"/>
  <c r="L610" i="1"/>
  <c r="L608" i="1"/>
  <c r="L609" i="1"/>
  <c r="L611" i="1"/>
  <c r="L615" i="1"/>
  <c r="L34" i="1"/>
  <c r="B60" i="4"/>
  <c r="S52" i="4"/>
  <c r="T52" i="4"/>
  <c r="BK52" i="4"/>
  <c r="CB52" i="4"/>
  <c r="A53" i="4"/>
  <c r="E235" i="1"/>
  <c r="E213" i="1"/>
  <c r="H53" i="4"/>
  <c r="E59" i="1"/>
  <c r="I53" i="4"/>
  <c r="J53" i="4"/>
  <c r="L53" i="4"/>
  <c r="M53" i="4"/>
  <c r="BS84" i="4"/>
  <c r="BT85" i="4"/>
  <c r="BS86" i="4"/>
  <c r="BT87" i="4"/>
  <c r="P53" i="4"/>
  <c r="BK53" i="4"/>
  <c r="CB53" i="4"/>
  <c r="F235" i="1"/>
  <c r="F213" i="1"/>
  <c r="H54" i="4"/>
  <c r="F59" i="1"/>
  <c r="I54" i="4"/>
  <c r="J54" i="4"/>
  <c r="L54" i="4"/>
  <c r="M54" i="4"/>
  <c r="CB54" i="4"/>
  <c r="A55" i="4"/>
  <c r="G235" i="1"/>
  <c r="G213" i="1"/>
  <c r="H55" i="4"/>
  <c r="G59" i="1"/>
  <c r="I55" i="4"/>
  <c r="J55" i="4"/>
  <c r="L55" i="4"/>
  <c r="M55" i="4"/>
  <c r="BK55" i="4"/>
  <c r="CB55" i="4"/>
  <c r="A56" i="4"/>
  <c r="H235" i="1"/>
  <c r="H213" i="1"/>
  <c r="H56" i="4"/>
  <c r="H59" i="1"/>
  <c r="I56" i="4"/>
  <c r="J56" i="4"/>
  <c r="L56" i="4"/>
  <c r="M56" i="4"/>
  <c r="O56" i="4"/>
  <c r="BX84" i="4"/>
  <c r="CG84" i="4"/>
  <c r="CG85" i="4"/>
  <c r="BX85" i="4"/>
  <c r="BY85" i="4"/>
  <c r="BP85" i="4"/>
  <c r="BX86" i="4"/>
  <c r="CG86" i="4"/>
  <c r="CG87" i="4"/>
  <c r="BX87" i="4"/>
  <c r="BY87" i="4"/>
  <c r="BP87" i="4"/>
  <c r="P56" i="4"/>
  <c r="L46" i="1"/>
  <c r="D60" i="4"/>
  <c r="L37" i="1"/>
  <c r="L47" i="1"/>
  <c r="E60" i="4"/>
  <c r="S56" i="4"/>
  <c r="T56" i="4"/>
  <c r="BK56" i="4"/>
  <c r="CB56" i="4"/>
  <c r="A57" i="4"/>
  <c r="I580" i="1"/>
  <c r="I235" i="1"/>
  <c r="I213" i="1"/>
  <c r="H57" i="4"/>
  <c r="I59" i="1"/>
  <c r="I57" i="4"/>
  <c r="J57" i="4"/>
  <c r="L57" i="4"/>
  <c r="M57" i="4"/>
  <c r="BP84" i="4"/>
  <c r="BQ85" i="4"/>
  <c r="BP86" i="4"/>
  <c r="BQ87" i="4"/>
  <c r="P57" i="4"/>
  <c r="BK57" i="4"/>
  <c r="CB57" i="4"/>
  <c r="A58" i="4"/>
  <c r="J235" i="1"/>
  <c r="J213" i="1"/>
  <c r="H58" i="4"/>
  <c r="J59" i="1"/>
  <c r="I58" i="4"/>
  <c r="J58" i="4"/>
  <c r="L58" i="4"/>
  <c r="M58" i="4"/>
  <c r="BK58" i="4"/>
  <c r="CB58" i="4"/>
  <c r="A59" i="4"/>
  <c r="K235" i="1"/>
  <c r="K213" i="1"/>
  <c r="H59" i="4"/>
  <c r="K59" i="1"/>
  <c r="I59" i="4"/>
  <c r="J59" i="4"/>
  <c r="L59" i="4"/>
  <c r="M59" i="4"/>
  <c r="BK59" i="4"/>
  <c r="CB59" i="4"/>
  <c r="A60" i="4"/>
  <c r="L545" i="1"/>
  <c r="L616" i="1"/>
  <c r="L617" i="1"/>
  <c r="L618" i="1"/>
  <c r="L619" i="1"/>
  <c r="L35" i="1"/>
  <c r="L45" i="1"/>
  <c r="C60" i="4"/>
  <c r="L235" i="1"/>
  <c r="L213" i="1"/>
  <c r="H60" i="4"/>
  <c r="L59" i="1"/>
  <c r="I60" i="4"/>
  <c r="J60" i="4"/>
  <c r="L60" i="4"/>
  <c r="M60" i="4"/>
  <c r="O60" i="4"/>
  <c r="DB62" i="4"/>
  <c r="CT62" i="4"/>
  <c r="CT63" i="4"/>
  <c r="CT64" i="4"/>
  <c r="CT65" i="4"/>
  <c r="BM83" i="4"/>
  <c r="CZ78" i="4"/>
  <c r="CZ76" i="4"/>
  <c r="DC79" i="4"/>
  <c r="DD76" i="4"/>
  <c r="DD79" i="4"/>
  <c r="DD77" i="4"/>
  <c r="DE76" i="4"/>
  <c r="DE79" i="4"/>
  <c r="DE78" i="4"/>
  <c r="DF76" i="4"/>
  <c r="DF79" i="4"/>
  <c r="DF77" i="4"/>
  <c r="DG76" i="4"/>
  <c r="DG79" i="4"/>
  <c r="DG77" i="4"/>
  <c r="DG78" i="4"/>
  <c r="DH76" i="4"/>
  <c r="DH79" i="4"/>
  <c r="DH78" i="4"/>
  <c r="DH77" i="4"/>
  <c r="DI76" i="4"/>
  <c r="DI79" i="4"/>
  <c r="DI77" i="4"/>
  <c r="DI78" i="4"/>
  <c r="DJ76" i="4"/>
  <c r="DJ79" i="4"/>
  <c r="DJ78" i="4"/>
  <c r="DJ77" i="4"/>
  <c r="DK76" i="4"/>
  <c r="DK79" i="4"/>
  <c r="DK78" i="4"/>
  <c r="DK77" i="4"/>
  <c r="DL76" i="4"/>
  <c r="DL79" i="4"/>
  <c r="DL77" i="4"/>
  <c r="DL78" i="4"/>
  <c r="DM76" i="4"/>
  <c r="DM79" i="4"/>
  <c r="DM77" i="4"/>
  <c r="DM78" i="4"/>
  <c r="DN76" i="4"/>
  <c r="DN79" i="4"/>
  <c r="DN77" i="4"/>
  <c r="DN78" i="4"/>
  <c r="DO76" i="4"/>
  <c r="DO79" i="4"/>
  <c r="DO77" i="4"/>
  <c r="DO78" i="4"/>
  <c r="DP76" i="4"/>
  <c r="DP79" i="4"/>
  <c r="DP77" i="4"/>
  <c r="DP78" i="4"/>
  <c r="DQ76" i="4"/>
  <c r="DQ79" i="4"/>
  <c r="DQ77" i="4"/>
  <c r="DQ78" i="4"/>
  <c r="DR76" i="4"/>
  <c r="DR79" i="4"/>
  <c r="DR78" i="4"/>
  <c r="DR77" i="4"/>
  <c r="DS76" i="4"/>
  <c r="DS79" i="4"/>
  <c r="DS77" i="4"/>
  <c r="DS78" i="4"/>
  <c r="DT76" i="4"/>
  <c r="DT79" i="4"/>
  <c r="DT78" i="4"/>
  <c r="DT77" i="4"/>
  <c r="DU76" i="4"/>
  <c r="DU79" i="4"/>
  <c r="DU77" i="4"/>
  <c r="DU78" i="4"/>
  <c r="DV76" i="4"/>
  <c r="DV79" i="4"/>
  <c r="DV78" i="4"/>
  <c r="DV77" i="4"/>
  <c r="DW76" i="4"/>
  <c r="DW79" i="4"/>
  <c r="DW77" i="4"/>
  <c r="DW78" i="4"/>
  <c r="DX76" i="4"/>
  <c r="DX79" i="4"/>
  <c r="DX77" i="4"/>
  <c r="DX78" i="4"/>
  <c r="DY76" i="4"/>
  <c r="DY79" i="4"/>
  <c r="DY77" i="4"/>
  <c r="DY78" i="4"/>
  <c r="DZ76" i="4"/>
  <c r="DZ79" i="4"/>
  <c r="DZ77" i="4"/>
  <c r="DZ78" i="4"/>
  <c r="EA76" i="4"/>
  <c r="EA79" i="4"/>
  <c r="EA77" i="4"/>
  <c r="EA78" i="4"/>
  <c r="EB76" i="4"/>
  <c r="EB79" i="4"/>
  <c r="EB78" i="4"/>
  <c r="EB77" i="4"/>
  <c r="EC76" i="4"/>
  <c r="CX79" i="4"/>
  <c r="CV76" i="4"/>
  <c r="DB76" i="4"/>
  <c r="CX76" i="4"/>
  <c r="CV77" i="4"/>
  <c r="CX77" i="4"/>
  <c r="CV78" i="4"/>
  <c r="CX78" i="4"/>
  <c r="CV79" i="4"/>
  <c r="BM87" i="4"/>
  <c r="P60" i="4"/>
  <c r="S60" i="4"/>
  <c r="T60" i="4"/>
  <c r="BK60" i="4"/>
  <c r="CB60" i="4"/>
  <c r="A61" i="4"/>
  <c r="M235" i="1"/>
  <c r="M213" i="1"/>
  <c r="H61" i="4"/>
  <c r="M59" i="1"/>
  <c r="I61" i="4"/>
  <c r="J61" i="4"/>
  <c r="L61" i="4"/>
  <c r="M61" i="4"/>
  <c r="DB69" i="4"/>
  <c r="CZ69" i="4"/>
  <c r="CZ70" i="4"/>
  <c r="CX72" i="4"/>
  <c r="CZ71" i="4"/>
  <c r="CT69" i="4"/>
  <c r="CT70" i="4"/>
  <c r="CT71" i="4"/>
  <c r="CT72" i="4"/>
  <c r="BN83" i="4"/>
  <c r="CZ85" i="4"/>
  <c r="CX86" i="4"/>
  <c r="CV83" i="4"/>
  <c r="DB83" i="4"/>
  <c r="CZ83" i="4"/>
  <c r="CX83" i="4"/>
  <c r="CV84" i="4"/>
  <c r="CX84" i="4"/>
  <c r="CV85" i="4"/>
  <c r="CX85" i="4"/>
  <c r="CV86" i="4"/>
  <c r="BN87" i="4"/>
  <c r="P61" i="4"/>
  <c r="BK61" i="4"/>
  <c r="CB61" i="4"/>
  <c r="A62" i="4"/>
  <c r="N522" i="1"/>
  <c r="N526" i="1"/>
  <c r="N527" i="1"/>
  <c r="N530" i="1"/>
  <c r="N528" i="1"/>
  <c r="N531" i="1"/>
  <c r="N534" i="1"/>
  <c r="N533" i="1"/>
  <c r="N535" i="1"/>
  <c r="N538" i="1"/>
  <c r="N536" i="1"/>
  <c r="N537" i="1"/>
  <c r="N539" i="1"/>
  <c r="N542" i="1"/>
  <c r="N540" i="1"/>
  <c r="N541" i="1"/>
  <c r="N543" i="1"/>
  <c r="N546" i="1"/>
  <c r="N545" i="1"/>
  <c r="N544" i="1"/>
  <c r="N547" i="1"/>
  <c r="N550" i="1"/>
  <c r="N548" i="1"/>
  <c r="N549" i="1"/>
  <c r="N551" i="1"/>
  <c r="N554" i="1"/>
  <c r="N552" i="1"/>
  <c r="N553" i="1"/>
  <c r="N555" i="1"/>
  <c r="N558" i="1"/>
  <c r="N556" i="1"/>
  <c r="N557" i="1"/>
  <c r="N559" i="1"/>
  <c r="N562" i="1"/>
  <c r="N561" i="1"/>
  <c r="N560" i="1"/>
  <c r="N563" i="1"/>
  <c r="N566" i="1"/>
  <c r="N565" i="1"/>
  <c r="N564" i="1"/>
  <c r="N567" i="1"/>
  <c r="N570" i="1"/>
  <c r="N569" i="1"/>
  <c r="N568" i="1"/>
  <c r="N571" i="1"/>
  <c r="N574" i="1"/>
  <c r="N573" i="1"/>
  <c r="N572" i="1"/>
  <c r="N575" i="1"/>
  <c r="N578" i="1"/>
  <c r="N577" i="1"/>
  <c r="N576" i="1"/>
  <c r="N579" i="1"/>
  <c r="N582" i="1"/>
  <c r="N580" i="1"/>
  <c r="N581" i="1"/>
  <c r="N583" i="1"/>
  <c r="N586" i="1"/>
  <c r="N584" i="1"/>
  <c r="N585" i="1"/>
  <c r="N587" i="1"/>
  <c r="N590" i="1"/>
  <c r="N589" i="1"/>
  <c r="N588" i="1"/>
  <c r="N591" i="1"/>
  <c r="N594" i="1"/>
  <c r="N593" i="1"/>
  <c r="N592" i="1"/>
  <c r="N595" i="1"/>
  <c r="N598" i="1"/>
  <c r="N597" i="1"/>
  <c r="N596" i="1"/>
  <c r="N599" i="1"/>
  <c r="N602" i="1"/>
  <c r="N600" i="1"/>
  <c r="N601" i="1"/>
  <c r="N603" i="1"/>
  <c r="N606" i="1"/>
  <c r="N604" i="1"/>
  <c r="N605" i="1"/>
  <c r="N607" i="1"/>
  <c r="N610" i="1"/>
  <c r="N609" i="1"/>
  <c r="N608" i="1"/>
  <c r="N611" i="1"/>
  <c r="N615" i="1"/>
  <c r="N34" i="1"/>
  <c r="N733" i="1"/>
  <c r="N734" i="1"/>
  <c r="N737" i="1"/>
  <c r="N735" i="1"/>
  <c r="N736" i="1"/>
  <c r="N738" i="1"/>
  <c r="N741" i="1"/>
  <c r="N740" i="1"/>
  <c r="N742" i="1"/>
  <c r="N745" i="1"/>
  <c r="N743" i="1"/>
  <c r="N744" i="1"/>
  <c r="N746" i="1"/>
  <c r="N749" i="1"/>
  <c r="N747" i="1"/>
  <c r="N748" i="1"/>
  <c r="N750" i="1"/>
  <c r="N753" i="1"/>
  <c r="N752" i="1"/>
  <c r="N751" i="1"/>
  <c r="N754" i="1"/>
  <c r="N757" i="1"/>
  <c r="N755" i="1"/>
  <c r="N756" i="1"/>
  <c r="N758" i="1"/>
  <c r="N761" i="1"/>
  <c r="N759" i="1"/>
  <c r="N760" i="1"/>
  <c r="N762" i="1"/>
  <c r="N765" i="1"/>
  <c r="N763" i="1"/>
  <c r="N764" i="1"/>
  <c r="N766" i="1"/>
  <c r="N769" i="1"/>
  <c r="N768" i="1"/>
  <c r="N767" i="1"/>
  <c r="N770" i="1"/>
  <c r="N773" i="1"/>
  <c r="N772" i="1"/>
  <c r="N771" i="1"/>
  <c r="N774" i="1"/>
  <c r="N777" i="1"/>
  <c r="N776" i="1"/>
  <c r="N775" i="1"/>
  <c r="N778" i="1"/>
  <c r="N781" i="1"/>
  <c r="N780" i="1"/>
  <c r="N779" i="1"/>
  <c r="N782" i="1"/>
  <c r="N785" i="1"/>
  <c r="N784" i="1"/>
  <c r="N783" i="1"/>
  <c r="N786" i="1"/>
  <c r="N789" i="1"/>
  <c r="N788" i="1"/>
  <c r="N787" i="1"/>
  <c r="N790" i="1"/>
  <c r="N793" i="1"/>
  <c r="N792" i="1"/>
  <c r="N791" i="1"/>
  <c r="N794" i="1"/>
  <c r="N797" i="1"/>
  <c r="N795" i="1"/>
  <c r="N796" i="1"/>
  <c r="N798" i="1"/>
  <c r="N801" i="1"/>
  <c r="N800" i="1"/>
  <c r="N799" i="1"/>
  <c r="N802" i="1"/>
  <c r="N805" i="1"/>
  <c r="N803" i="1"/>
  <c r="N804" i="1"/>
  <c r="N806" i="1"/>
  <c r="N809" i="1"/>
  <c r="N807" i="1"/>
  <c r="N808" i="1"/>
  <c r="N810" i="1"/>
  <c r="N813" i="1"/>
  <c r="N812" i="1"/>
  <c r="N811" i="1"/>
  <c r="N814" i="1"/>
  <c r="N817" i="1"/>
  <c r="N815" i="1"/>
  <c r="N816" i="1"/>
  <c r="N818" i="1"/>
  <c r="N822" i="1"/>
  <c r="N44" i="1"/>
  <c r="B62" i="4"/>
  <c r="N616" i="1"/>
  <c r="N617" i="1"/>
  <c r="N618" i="1"/>
  <c r="N619" i="1"/>
  <c r="N35" i="1"/>
  <c r="N45" i="1"/>
  <c r="C62" i="4"/>
  <c r="N46" i="1"/>
  <c r="D62" i="4"/>
  <c r="N37" i="1"/>
  <c r="N47" i="1"/>
  <c r="E62" i="4"/>
  <c r="N656" i="1"/>
  <c r="N49" i="1"/>
  <c r="G62" i="4"/>
  <c r="N235" i="1"/>
  <c r="N213" i="1"/>
  <c r="H62" i="4"/>
  <c r="N59" i="1"/>
  <c r="I62" i="4"/>
  <c r="J62" i="4"/>
  <c r="L62" i="4"/>
  <c r="M62" i="4"/>
  <c r="BK62" i="4"/>
  <c r="BW62" i="4"/>
  <c r="BX62" i="4"/>
  <c r="BY62" i="4"/>
  <c r="CA62" i="4"/>
  <c r="CB62" i="4"/>
  <c r="CV62" i="4"/>
  <c r="CX62" i="4"/>
  <c r="A63" i="4"/>
  <c r="O235" i="1"/>
  <c r="O213" i="1"/>
  <c r="H63" i="4"/>
  <c r="O59" i="1"/>
  <c r="I63" i="4"/>
  <c r="J63" i="4"/>
  <c r="L63" i="4"/>
  <c r="M63" i="4"/>
  <c r="BK63" i="4"/>
  <c r="CB63" i="4"/>
  <c r="CV63" i="4"/>
  <c r="DB63" i="4"/>
  <c r="CX63" i="4"/>
  <c r="DE63" i="4"/>
  <c r="EC63" i="4"/>
  <c r="A64" i="4"/>
  <c r="P522" i="1"/>
  <c r="P526" i="1"/>
  <c r="P527" i="1"/>
  <c r="P530" i="1"/>
  <c r="P528" i="1"/>
  <c r="P531" i="1"/>
  <c r="P534" i="1"/>
  <c r="P533" i="1"/>
  <c r="P535" i="1"/>
  <c r="P538" i="1"/>
  <c r="P536" i="1"/>
  <c r="P539" i="1"/>
  <c r="P542" i="1"/>
  <c r="P540" i="1"/>
  <c r="P541" i="1"/>
  <c r="P543" i="1"/>
  <c r="P546" i="1"/>
  <c r="P545" i="1"/>
  <c r="P544" i="1"/>
  <c r="P547" i="1"/>
  <c r="P550" i="1"/>
  <c r="P548" i="1"/>
  <c r="P551" i="1"/>
  <c r="P554" i="1"/>
  <c r="P552" i="1"/>
  <c r="P553" i="1"/>
  <c r="P555" i="1"/>
  <c r="P558" i="1"/>
  <c r="P556" i="1"/>
  <c r="P557" i="1"/>
  <c r="P559" i="1"/>
  <c r="P562" i="1"/>
  <c r="P561" i="1"/>
  <c r="P560" i="1"/>
  <c r="P563" i="1"/>
  <c r="P566" i="1"/>
  <c r="P564" i="1"/>
  <c r="P565" i="1"/>
  <c r="P567" i="1"/>
  <c r="P570" i="1"/>
  <c r="P568" i="1"/>
  <c r="P571" i="1"/>
  <c r="P574" i="1"/>
  <c r="P573" i="1"/>
  <c r="P572" i="1"/>
  <c r="P575" i="1"/>
  <c r="P578" i="1"/>
  <c r="P576" i="1"/>
  <c r="P577" i="1"/>
  <c r="P579" i="1"/>
  <c r="P582" i="1"/>
  <c r="P581" i="1"/>
  <c r="P580" i="1"/>
  <c r="P583" i="1"/>
  <c r="P586" i="1"/>
  <c r="P585" i="1"/>
  <c r="P584" i="1"/>
  <c r="P587" i="1"/>
  <c r="P590" i="1"/>
  <c r="P589" i="1"/>
  <c r="P588" i="1"/>
  <c r="P591" i="1"/>
  <c r="P594" i="1"/>
  <c r="P592" i="1"/>
  <c r="P593" i="1"/>
  <c r="P595" i="1"/>
  <c r="P598" i="1"/>
  <c r="P596" i="1"/>
  <c r="P597" i="1"/>
  <c r="P599" i="1"/>
  <c r="P602" i="1"/>
  <c r="P600" i="1"/>
  <c r="P601" i="1"/>
  <c r="P603" i="1"/>
  <c r="P606" i="1"/>
  <c r="P604" i="1"/>
  <c r="P605" i="1"/>
  <c r="P607" i="1"/>
  <c r="P610" i="1"/>
  <c r="P609" i="1"/>
  <c r="P608" i="1"/>
  <c r="P611" i="1"/>
  <c r="P615" i="1"/>
  <c r="P34" i="1"/>
  <c r="P733" i="1"/>
  <c r="P734" i="1"/>
  <c r="P737" i="1"/>
  <c r="P735" i="1"/>
  <c r="P736" i="1"/>
  <c r="P738" i="1"/>
  <c r="P741" i="1"/>
  <c r="P740" i="1"/>
  <c r="P742" i="1"/>
  <c r="P745" i="1"/>
  <c r="P743" i="1"/>
  <c r="P744" i="1"/>
  <c r="P746" i="1"/>
  <c r="P749" i="1"/>
  <c r="P747" i="1"/>
  <c r="P748" i="1"/>
  <c r="P750" i="1"/>
  <c r="P753" i="1"/>
  <c r="P752" i="1"/>
  <c r="P751" i="1"/>
  <c r="P754" i="1"/>
  <c r="P757" i="1"/>
  <c r="P755" i="1"/>
  <c r="P756" i="1"/>
  <c r="P758" i="1"/>
  <c r="P761" i="1"/>
  <c r="P759" i="1"/>
  <c r="P760" i="1"/>
  <c r="P762" i="1"/>
  <c r="P765" i="1"/>
  <c r="P763" i="1"/>
  <c r="P764" i="1"/>
  <c r="P766" i="1"/>
  <c r="P769" i="1"/>
  <c r="P768" i="1"/>
  <c r="P767" i="1"/>
  <c r="P770" i="1"/>
  <c r="P773" i="1"/>
  <c r="P771" i="1"/>
  <c r="P772" i="1"/>
  <c r="P774" i="1"/>
  <c r="P777" i="1"/>
  <c r="P775" i="1"/>
  <c r="P776" i="1"/>
  <c r="P778" i="1"/>
  <c r="P781" i="1"/>
  <c r="P780" i="1"/>
  <c r="P779" i="1"/>
  <c r="P782" i="1"/>
  <c r="P785" i="1"/>
  <c r="P784" i="1"/>
  <c r="P783" i="1"/>
  <c r="P786" i="1"/>
  <c r="P789" i="1"/>
  <c r="P787" i="1"/>
  <c r="P788" i="1"/>
  <c r="P790" i="1"/>
  <c r="P793" i="1"/>
  <c r="P792" i="1"/>
  <c r="P791" i="1"/>
  <c r="P794" i="1"/>
  <c r="P797" i="1"/>
  <c r="P796" i="1"/>
  <c r="P795" i="1"/>
  <c r="P798" i="1"/>
  <c r="P801" i="1"/>
  <c r="P800" i="1"/>
  <c r="P802" i="1"/>
  <c r="P805" i="1"/>
  <c r="P803" i="1"/>
  <c r="P804" i="1"/>
  <c r="P806" i="1"/>
  <c r="P809" i="1"/>
  <c r="P807" i="1"/>
  <c r="P808" i="1"/>
  <c r="P810" i="1"/>
  <c r="P813" i="1"/>
  <c r="P811" i="1"/>
  <c r="P812" i="1"/>
  <c r="P814" i="1"/>
  <c r="P817" i="1"/>
  <c r="P815" i="1"/>
  <c r="P816" i="1"/>
  <c r="P818" i="1"/>
  <c r="P822" i="1"/>
  <c r="P44" i="1"/>
  <c r="B64" i="4"/>
  <c r="P332" i="1"/>
  <c r="P259" i="1"/>
  <c r="P333" i="1"/>
  <c r="P334" i="1"/>
  <c r="P25" i="1"/>
  <c r="P255" i="1"/>
  <c r="P335" i="1"/>
  <c r="P337" i="1"/>
  <c r="P616" i="1"/>
  <c r="P617" i="1"/>
  <c r="P618" i="1"/>
  <c r="P619" i="1"/>
  <c r="P35" i="1"/>
  <c r="P45" i="1"/>
  <c r="C64" i="4"/>
  <c r="P46" i="1"/>
  <c r="D64" i="4"/>
  <c r="P37" i="1"/>
  <c r="P47" i="1"/>
  <c r="E64" i="4"/>
  <c r="P656" i="1"/>
  <c r="P49" i="1"/>
  <c r="G64" i="4"/>
  <c r="P235" i="1"/>
  <c r="P213" i="1"/>
  <c r="H64" i="4"/>
  <c r="P59" i="1"/>
  <c r="I64" i="4"/>
  <c r="J64" i="4"/>
  <c r="K64" i="4"/>
  <c r="L64" i="4"/>
  <c r="M64" i="4"/>
  <c r="BK64" i="4"/>
  <c r="BW64" i="4"/>
  <c r="BX64" i="4"/>
  <c r="BY64" i="4"/>
  <c r="CA64" i="4"/>
  <c r="CB64" i="4"/>
  <c r="CV64" i="4"/>
  <c r="DB64" i="4"/>
  <c r="CX64" i="4"/>
  <c r="DD64" i="4"/>
  <c r="DF64" i="4"/>
  <c r="EC64" i="4"/>
  <c r="A65" i="4"/>
  <c r="Q522" i="1"/>
  <c r="Q526" i="1"/>
  <c r="Q527" i="1"/>
  <c r="Q530" i="1"/>
  <c r="Q528" i="1"/>
  <c r="Q531" i="1"/>
  <c r="Q534" i="1"/>
  <c r="Q533" i="1"/>
  <c r="Q535" i="1"/>
  <c r="Q538" i="1"/>
  <c r="Q536" i="1"/>
  <c r="Q539" i="1"/>
  <c r="Q542" i="1"/>
  <c r="Q541" i="1"/>
  <c r="Q543" i="1"/>
  <c r="Q546" i="1"/>
  <c r="Q544" i="1"/>
  <c r="Q547" i="1"/>
  <c r="Q550" i="1"/>
  <c r="Q548" i="1"/>
  <c r="Q549" i="1"/>
  <c r="Q551" i="1"/>
  <c r="Q554" i="1"/>
  <c r="Q553" i="1"/>
  <c r="Q552" i="1"/>
  <c r="Q555" i="1"/>
  <c r="Q558" i="1"/>
  <c r="Q556" i="1"/>
  <c r="Q557" i="1"/>
  <c r="Q559" i="1"/>
  <c r="Q562" i="1"/>
  <c r="Q561" i="1"/>
  <c r="Q563" i="1"/>
  <c r="Q566" i="1"/>
  <c r="Q565" i="1"/>
  <c r="Q564" i="1"/>
  <c r="Q567" i="1"/>
  <c r="Q570" i="1"/>
  <c r="Q568" i="1"/>
  <c r="Q569" i="1"/>
  <c r="Q571" i="1"/>
  <c r="Q574" i="1"/>
  <c r="Q573" i="1"/>
  <c r="Q572" i="1"/>
  <c r="Q575" i="1"/>
  <c r="Q578" i="1"/>
  <c r="Q577" i="1"/>
  <c r="Q576" i="1"/>
  <c r="Q579" i="1"/>
  <c r="Q582" i="1"/>
  <c r="Q580" i="1"/>
  <c r="Q581" i="1"/>
  <c r="Q583" i="1"/>
  <c r="Q586" i="1"/>
  <c r="Q585" i="1"/>
  <c r="Q584" i="1"/>
  <c r="Q587" i="1"/>
  <c r="Q590" i="1"/>
  <c r="Q588" i="1"/>
  <c r="Q589" i="1"/>
  <c r="Q591" i="1"/>
  <c r="Q594" i="1"/>
  <c r="Q592" i="1"/>
  <c r="Q593" i="1"/>
  <c r="Q595" i="1"/>
  <c r="Q598" i="1"/>
  <c r="Q597" i="1"/>
  <c r="Q596" i="1"/>
  <c r="Q599" i="1"/>
  <c r="Q602" i="1"/>
  <c r="Q601" i="1"/>
  <c r="Q600" i="1"/>
  <c r="Q603" i="1"/>
  <c r="Q606" i="1"/>
  <c r="Q605" i="1"/>
  <c r="Q607" i="1"/>
  <c r="Q610" i="1"/>
  <c r="Q609" i="1"/>
  <c r="Q608" i="1"/>
  <c r="Q611" i="1"/>
  <c r="Q615" i="1"/>
  <c r="Q34" i="1"/>
  <c r="Q733" i="1"/>
  <c r="Q734" i="1"/>
  <c r="Q737" i="1"/>
  <c r="Q735" i="1"/>
  <c r="Q736" i="1"/>
  <c r="Q738" i="1"/>
  <c r="Q741" i="1"/>
  <c r="Q740" i="1"/>
  <c r="Q742" i="1"/>
  <c r="Q745" i="1"/>
  <c r="Q743" i="1"/>
  <c r="Q744" i="1"/>
  <c r="Q746" i="1"/>
  <c r="Q749" i="1"/>
  <c r="Q748" i="1"/>
  <c r="Q750" i="1"/>
  <c r="Q753" i="1"/>
  <c r="Q751" i="1"/>
  <c r="Q752" i="1"/>
  <c r="Q754" i="1"/>
  <c r="Q757" i="1"/>
  <c r="Q755" i="1"/>
  <c r="Q756" i="1"/>
  <c r="Q758" i="1"/>
  <c r="Q761" i="1"/>
  <c r="Q760" i="1"/>
  <c r="Q759" i="1"/>
  <c r="Q762" i="1"/>
  <c r="Q765" i="1"/>
  <c r="Q763" i="1"/>
  <c r="Q764" i="1"/>
  <c r="Q766" i="1"/>
  <c r="Q769" i="1"/>
  <c r="Q768" i="1"/>
  <c r="Q767" i="1"/>
  <c r="Q770" i="1"/>
  <c r="Q773" i="1"/>
  <c r="Q772" i="1"/>
  <c r="Q771" i="1"/>
  <c r="Q774" i="1"/>
  <c r="Q777" i="1"/>
  <c r="Q776" i="1"/>
  <c r="Q775" i="1"/>
  <c r="Q778" i="1"/>
  <c r="Q781" i="1"/>
  <c r="Q780" i="1"/>
  <c r="Q779" i="1"/>
  <c r="Q782" i="1"/>
  <c r="Q785" i="1"/>
  <c r="Q783" i="1"/>
  <c r="Q784" i="1"/>
  <c r="Q786" i="1"/>
  <c r="Q789" i="1"/>
  <c r="Q787" i="1"/>
  <c r="Q788" i="1"/>
  <c r="Q790" i="1"/>
  <c r="Q793" i="1"/>
  <c r="Q791" i="1"/>
  <c r="Q792" i="1"/>
  <c r="Q794" i="1"/>
  <c r="Q797" i="1"/>
  <c r="Q795" i="1"/>
  <c r="Q796" i="1"/>
  <c r="Q798" i="1"/>
  <c r="Q801" i="1"/>
  <c r="Q799" i="1"/>
  <c r="Q800" i="1"/>
  <c r="Q802" i="1"/>
  <c r="Q805" i="1"/>
  <c r="Q803" i="1"/>
  <c r="Q804" i="1"/>
  <c r="Q806" i="1"/>
  <c r="Q809" i="1"/>
  <c r="Q807" i="1"/>
  <c r="Q808" i="1"/>
  <c r="Q810" i="1"/>
  <c r="Q813" i="1"/>
  <c r="Q812" i="1"/>
  <c r="Q811" i="1"/>
  <c r="Q814" i="1"/>
  <c r="Q817" i="1"/>
  <c r="Q815" i="1"/>
  <c r="Q816" i="1"/>
  <c r="Q818" i="1"/>
  <c r="Q822" i="1"/>
  <c r="Q44" i="1"/>
  <c r="B65" i="4"/>
  <c r="Q616" i="1"/>
  <c r="Q617" i="1"/>
  <c r="Q618" i="1"/>
  <c r="Q619" i="1"/>
  <c r="Q35" i="1"/>
  <c r="Q45" i="1"/>
  <c r="C65" i="4"/>
  <c r="Q46" i="1"/>
  <c r="D65" i="4"/>
  <c r="Q37" i="1"/>
  <c r="Q47" i="1"/>
  <c r="E65" i="4"/>
  <c r="Q656" i="1"/>
  <c r="Q49" i="1"/>
  <c r="G65" i="4"/>
  <c r="Q235" i="1"/>
  <c r="Q213" i="1"/>
  <c r="H65" i="4"/>
  <c r="Q59" i="1"/>
  <c r="I65" i="4"/>
  <c r="J65" i="4"/>
  <c r="K65" i="4"/>
  <c r="L65" i="4"/>
  <c r="M65" i="4"/>
  <c r="BK65" i="4"/>
  <c r="BM65" i="4"/>
  <c r="BO65" i="4"/>
  <c r="BP65" i="4"/>
  <c r="BR65" i="4"/>
  <c r="BS65" i="4"/>
  <c r="BW65" i="4"/>
  <c r="BX65" i="4"/>
  <c r="BY65" i="4"/>
  <c r="CA65" i="4"/>
  <c r="CB65" i="4"/>
  <c r="CD65" i="4"/>
  <c r="CG65" i="4"/>
  <c r="CJ65" i="4"/>
  <c r="CV65" i="4"/>
  <c r="EC65" i="4"/>
  <c r="A66" i="4"/>
  <c r="R522" i="1"/>
  <c r="R526" i="1"/>
  <c r="R527" i="1"/>
  <c r="R530" i="1"/>
  <c r="R528" i="1"/>
  <c r="R531" i="1"/>
  <c r="R534" i="1"/>
  <c r="R533" i="1"/>
  <c r="R535" i="1"/>
  <c r="R538" i="1"/>
  <c r="R536" i="1"/>
  <c r="R539" i="1"/>
  <c r="R542" i="1"/>
  <c r="R541" i="1"/>
  <c r="R543" i="1"/>
  <c r="R546" i="1"/>
  <c r="R544" i="1"/>
  <c r="R547" i="1"/>
  <c r="R550" i="1"/>
  <c r="R548" i="1"/>
  <c r="R549" i="1"/>
  <c r="R551" i="1"/>
  <c r="R554" i="1"/>
  <c r="R553" i="1"/>
  <c r="R552" i="1"/>
  <c r="R555" i="1"/>
  <c r="R558" i="1"/>
  <c r="R556" i="1"/>
  <c r="R557" i="1"/>
  <c r="R559" i="1"/>
  <c r="R562" i="1"/>
  <c r="R561" i="1"/>
  <c r="R560" i="1"/>
  <c r="R563" i="1"/>
  <c r="R566" i="1"/>
  <c r="R564" i="1"/>
  <c r="R565" i="1"/>
  <c r="R567" i="1"/>
  <c r="R570" i="1"/>
  <c r="R568" i="1"/>
  <c r="R569" i="1"/>
  <c r="R571" i="1"/>
  <c r="R574" i="1"/>
  <c r="R573" i="1"/>
  <c r="R572" i="1"/>
  <c r="R575" i="1"/>
  <c r="R578" i="1"/>
  <c r="R577" i="1"/>
  <c r="R579" i="1"/>
  <c r="R582" i="1"/>
  <c r="R580" i="1"/>
  <c r="R581" i="1"/>
  <c r="R583" i="1"/>
  <c r="R586" i="1"/>
  <c r="R585" i="1"/>
  <c r="R584" i="1"/>
  <c r="R587" i="1"/>
  <c r="R590" i="1"/>
  <c r="R588" i="1"/>
  <c r="R589" i="1"/>
  <c r="R591" i="1"/>
  <c r="R594" i="1"/>
  <c r="R593" i="1"/>
  <c r="R592" i="1"/>
  <c r="R595" i="1"/>
  <c r="R598" i="1"/>
  <c r="R597" i="1"/>
  <c r="R599" i="1"/>
  <c r="R602" i="1"/>
  <c r="R600" i="1"/>
  <c r="R603" i="1"/>
  <c r="R606" i="1"/>
  <c r="R605" i="1"/>
  <c r="R607" i="1"/>
  <c r="R610" i="1"/>
  <c r="R608" i="1"/>
  <c r="R609" i="1"/>
  <c r="R611" i="1"/>
  <c r="R615" i="1"/>
  <c r="R34" i="1"/>
  <c r="R733" i="1"/>
  <c r="R734" i="1"/>
  <c r="R737" i="1"/>
  <c r="R735" i="1"/>
  <c r="R736" i="1"/>
  <c r="R738" i="1"/>
  <c r="R741" i="1"/>
  <c r="R740" i="1"/>
  <c r="R742" i="1"/>
  <c r="R745" i="1"/>
  <c r="R743" i="1"/>
  <c r="R744" i="1"/>
  <c r="R746" i="1"/>
  <c r="R749" i="1"/>
  <c r="R748" i="1"/>
  <c r="R750" i="1"/>
  <c r="R753" i="1"/>
  <c r="R751" i="1"/>
  <c r="R752" i="1"/>
  <c r="R754" i="1"/>
  <c r="R757" i="1"/>
  <c r="R755" i="1"/>
  <c r="R756" i="1"/>
  <c r="R758" i="1"/>
  <c r="R761" i="1"/>
  <c r="R760" i="1"/>
  <c r="R759" i="1"/>
  <c r="R762" i="1"/>
  <c r="R765" i="1"/>
  <c r="R763" i="1"/>
  <c r="R764" i="1"/>
  <c r="R766" i="1"/>
  <c r="R769" i="1"/>
  <c r="R768" i="1"/>
  <c r="R770" i="1"/>
  <c r="R773" i="1"/>
  <c r="R771" i="1"/>
  <c r="R772" i="1"/>
  <c r="R774" i="1"/>
  <c r="R777" i="1"/>
  <c r="R776" i="1"/>
  <c r="R775" i="1"/>
  <c r="R778" i="1"/>
  <c r="R781" i="1"/>
  <c r="R780" i="1"/>
  <c r="R779" i="1"/>
  <c r="R782" i="1"/>
  <c r="R785" i="1"/>
  <c r="R783" i="1"/>
  <c r="R784" i="1"/>
  <c r="R786" i="1"/>
  <c r="R789" i="1"/>
  <c r="R787" i="1"/>
  <c r="R788" i="1"/>
  <c r="R790" i="1"/>
  <c r="R793" i="1"/>
  <c r="R791" i="1"/>
  <c r="R792" i="1"/>
  <c r="R794" i="1"/>
  <c r="R797" i="1"/>
  <c r="R795" i="1"/>
  <c r="R796" i="1"/>
  <c r="R798" i="1"/>
  <c r="R801" i="1"/>
  <c r="R800" i="1"/>
  <c r="R799" i="1"/>
  <c r="R802" i="1"/>
  <c r="R805" i="1"/>
  <c r="R803" i="1"/>
  <c r="R804" i="1"/>
  <c r="R806" i="1"/>
  <c r="R809" i="1"/>
  <c r="R807" i="1"/>
  <c r="R808" i="1"/>
  <c r="R810" i="1"/>
  <c r="R813" i="1"/>
  <c r="R812" i="1"/>
  <c r="R814" i="1"/>
  <c r="R817" i="1"/>
  <c r="R815" i="1"/>
  <c r="R816" i="1"/>
  <c r="R818" i="1"/>
  <c r="R822" i="1"/>
  <c r="R44" i="1"/>
  <c r="B66" i="4"/>
  <c r="R616" i="1"/>
  <c r="R617" i="1"/>
  <c r="R618" i="1"/>
  <c r="R619" i="1"/>
  <c r="R35" i="1"/>
  <c r="R45" i="1"/>
  <c r="C66" i="4"/>
  <c r="R46" i="1"/>
  <c r="D66" i="4"/>
  <c r="R37" i="1"/>
  <c r="R47" i="1"/>
  <c r="E66" i="4"/>
  <c r="R656" i="1"/>
  <c r="R49" i="1"/>
  <c r="G66" i="4"/>
  <c r="R235" i="1"/>
  <c r="R213" i="1"/>
  <c r="H66" i="4"/>
  <c r="R59" i="1"/>
  <c r="I66" i="4"/>
  <c r="J66" i="4"/>
  <c r="K66" i="4"/>
  <c r="L66" i="4"/>
  <c r="M66" i="4"/>
  <c r="BK66" i="4"/>
  <c r="BM66" i="4"/>
  <c r="BO66" i="4"/>
  <c r="BP66" i="4"/>
  <c r="BR66" i="4"/>
  <c r="BS66" i="4"/>
  <c r="BW66" i="4"/>
  <c r="BX66" i="4"/>
  <c r="BY66" i="4"/>
  <c r="CA66" i="4"/>
  <c r="CB66" i="4"/>
  <c r="CD66" i="4"/>
  <c r="CG66" i="4"/>
  <c r="CJ66" i="4"/>
  <c r="A67" i="4"/>
  <c r="S522" i="1"/>
  <c r="S526" i="1"/>
  <c r="S527" i="1"/>
  <c r="S530" i="1"/>
  <c r="S528" i="1"/>
  <c r="S531" i="1"/>
  <c r="S534" i="1"/>
  <c r="S533" i="1"/>
  <c r="S535" i="1"/>
  <c r="S538" i="1"/>
  <c r="S536" i="1"/>
  <c r="S539" i="1"/>
  <c r="S542" i="1"/>
  <c r="S541" i="1"/>
  <c r="S540" i="1"/>
  <c r="S543" i="1"/>
  <c r="S546" i="1"/>
  <c r="S544" i="1"/>
  <c r="S545" i="1"/>
  <c r="S547" i="1"/>
  <c r="S550" i="1"/>
  <c r="S548" i="1"/>
  <c r="S549" i="1"/>
  <c r="S551" i="1"/>
  <c r="S554" i="1"/>
  <c r="S552" i="1"/>
  <c r="S553" i="1"/>
  <c r="S555" i="1"/>
  <c r="S558" i="1"/>
  <c r="S556" i="1"/>
  <c r="S557" i="1"/>
  <c r="S559" i="1"/>
  <c r="S562" i="1"/>
  <c r="S560" i="1"/>
  <c r="S561" i="1"/>
  <c r="S563" i="1"/>
  <c r="S566" i="1"/>
  <c r="S564" i="1"/>
  <c r="S565" i="1"/>
  <c r="S567" i="1"/>
  <c r="S570" i="1"/>
  <c r="S569" i="1"/>
  <c r="S568" i="1"/>
  <c r="S571" i="1"/>
  <c r="S574" i="1"/>
  <c r="S573" i="1"/>
  <c r="S572" i="1"/>
  <c r="S575" i="1"/>
  <c r="S578" i="1"/>
  <c r="S577" i="1"/>
  <c r="S576" i="1"/>
  <c r="S579" i="1"/>
  <c r="S582" i="1"/>
  <c r="S580" i="1"/>
  <c r="S581" i="1"/>
  <c r="S583" i="1"/>
  <c r="S586" i="1"/>
  <c r="S584" i="1"/>
  <c r="S585" i="1"/>
  <c r="S587" i="1"/>
  <c r="S590" i="1"/>
  <c r="S588" i="1"/>
  <c r="S589" i="1"/>
  <c r="S591" i="1"/>
  <c r="S594" i="1"/>
  <c r="S593" i="1"/>
  <c r="S592" i="1"/>
  <c r="S595" i="1"/>
  <c r="S598" i="1"/>
  <c r="S596" i="1"/>
  <c r="S597" i="1"/>
  <c r="S599" i="1"/>
  <c r="S602" i="1"/>
  <c r="S600" i="1"/>
  <c r="S601" i="1"/>
  <c r="S603" i="1"/>
  <c r="S606" i="1"/>
  <c r="S605" i="1"/>
  <c r="S604" i="1"/>
  <c r="S607" i="1"/>
  <c r="S610" i="1"/>
  <c r="S609" i="1"/>
  <c r="S608" i="1"/>
  <c r="S611" i="1"/>
  <c r="S615" i="1"/>
  <c r="S34" i="1"/>
  <c r="S733" i="1"/>
  <c r="S734" i="1"/>
  <c r="S737" i="1"/>
  <c r="S735" i="1"/>
  <c r="S736" i="1"/>
  <c r="S738" i="1"/>
  <c r="S741" i="1"/>
  <c r="S740" i="1"/>
  <c r="S742" i="1"/>
  <c r="S745" i="1"/>
  <c r="S743" i="1"/>
  <c r="S744" i="1"/>
  <c r="S746" i="1"/>
  <c r="S749" i="1"/>
  <c r="S748" i="1"/>
  <c r="S747" i="1"/>
  <c r="S750" i="1"/>
  <c r="S753" i="1"/>
  <c r="S751" i="1"/>
  <c r="S752" i="1"/>
  <c r="S754" i="1"/>
  <c r="S757" i="1"/>
  <c r="S755" i="1"/>
  <c r="S756" i="1"/>
  <c r="S758" i="1"/>
  <c r="S761" i="1"/>
  <c r="S759" i="1"/>
  <c r="S760" i="1"/>
  <c r="S762" i="1"/>
  <c r="S765" i="1"/>
  <c r="S763" i="1"/>
  <c r="S764" i="1"/>
  <c r="S766" i="1"/>
  <c r="S769" i="1"/>
  <c r="S767" i="1"/>
  <c r="S768" i="1"/>
  <c r="S770" i="1"/>
  <c r="S773" i="1"/>
  <c r="S772" i="1"/>
  <c r="S771" i="1"/>
  <c r="S774" i="1"/>
  <c r="S777" i="1"/>
  <c r="S775" i="1"/>
  <c r="S776" i="1"/>
  <c r="S778" i="1"/>
  <c r="S781" i="1"/>
  <c r="S779" i="1"/>
  <c r="S780" i="1"/>
  <c r="S782" i="1"/>
  <c r="S785" i="1"/>
  <c r="S784" i="1"/>
  <c r="S783" i="1"/>
  <c r="S786" i="1"/>
  <c r="S789" i="1"/>
  <c r="S788" i="1"/>
  <c r="S787" i="1"/>
  <c r="S790" i="1"/>
  <c r="S793" i="1"/>
  <c r="S792" i="1"/>
  <c r="S791" i="1"/>
  <c r="S794" i="1"/>
  <c r="S797" i="1"/>
  <c r="S795" i="1"/>
  <c r="S796" i="1"/>
  <c r="S798" i="1"/>
  <c r="S801" i="1"/>
  <c r="S799" i="1"/>
  <c r="S800" i="1"/>
  <c r="S802" i="1"/>
  <c r="S805" i="1"/>
  <c r="S803" i="1"/>
  <c r="S804" i="1"/>
  <c r="S806" i="1"/>
  <c r="S809" i="1"/>
  <c r="S808" i="1"/>
  <c r="S807" i="1"/>
  <c r="S810" i="1"/>
  <c r="S813" i="1"/>
  <c r="S811" i="1"/>
  <c r="S812" i="1"/>
  <c r="S814" i="1"/>
  <c r="S817" i="1"/>
  <c r="S815" i="1"/>
  <c r="S816" i="1"/>
  <c r="S818" i="1"/>
  <c r="S822" i="1"/>
  <c r="S44" i="1"/>
  <c r="B67" i="4"/>
  <c r="S616" i="1"/>
  <c r="S617" i="1"/>
  <c r="S618" i="1"/>
  <c r="S619" i="1"/>
  <c r="S35" i="1"/>
  <c r="S45" i="1"/>
  <c r="C67" i="4"/>
  <c r="S46" i="1"/>
  <c r="D67" i="4"/>
  <c r="S37" i="1"/>
  <c r="S47" i="1"/>
  <c r="E67" i="4"/>
  <c r="S656" i="1"/>
  <c r="S49" i="1"/>
  <c r="G67" i="4"/>
  <c r="S235" i="1"/>
  <c r="S213" i="1"/>
  <c r="H67" i="4"/>
  <c r="S59" i="1"/>
  <c r="I67" i="4"/>
  <c r="J67" i="4"/>
  <c r="K67" i="4"/>
  <c r="L67" i="4"/>
  <c r="M67" i="4"/>
  <c r="BK67" i="4"/>
  <c r="BM67" i="4"/>
  <c r="BO67" i="4"/>
  <c r="BP67" i="4"/>
  <c r="BR67" i="4"/>
  <c r="BS67" i="4"/>
  <c r="BW67" i="4"/>
  <c r="BX67" i="4"/>
  <c r="BY67" i="4"/>
  <c r="CA67" i="4"/>
  <c r="CB67" i="4"/>
  <c r="CD67" i="4"/>
  <c r="CG67" i="4"/>
  <c r="CJ67" i="4"/>
  <c r="A68" i="4"/>
  <c r="T522" i="1"/>
  <c r="T526" i="1"/>
  <c r="T527" i="1"/>
  <c r="T530" i="1"/>
  <c r="T528" i="1"/>
  <c r="T531" i="1"/>
  <c r="T534" i="1"/>
  <c r="T533" i="1"/>
  <c r="T535" i="1"/>
  <c r="T538" i="1"/>
  <c r="T536" i="1"/>
  <c r="T539" i="1"/>
  <c r="T542" i="1"/>
  <c r="T541" i="1"/>
  <c r="T540" i="1"/>
  <c r="T543" i="1"/>
  <c r="T546" i="1"/>
  <c r="T544" i="1"/>
  <c r="T545" i="1"/>
  <c r="T547" i="1"/>
  <c r="T550" i="1"/>
  <c r="T548" i="1"/>
  <c r="T549" i="1"/>
  <c r="T551" i="1"/>
  <c r="T554" i="1"/>
  <c r="T552" i="1"/>
  <c r="T553" i="1"/>
  <c r="T555" i="1"/>
  <c r="T558" i="1"/>
  <c r="T556" i="1"/>
  <c r="T557" i="1"/>
  <c r="T559" i="1"/>
  <c r="T562" i="1"/>
  <c r="T560" i="1"/>
  <c r="T563" i="1"/>
  <c r="T566" i="1"/>
  <c r="T564" i="1"/>
  <c r="T565" i="1"/>
  <c r="T567" i="1"/>
  <c r="T570" i="1"/>
  <c r="T568" i="1"/>
  <c r="T569" i="1"/>
  <c r="T571" i="1"/>
  <c r="T574" i="1"/>
  <c r="T572" i="1"/>
  <c r="T573" i="1"/>
  <c r="T575" i="1"/>
  <c r="T578" i="1"/>
  <c r="T576" i="1"/>
  <c r="T577" i="1"/>
  <c r="T579" i="1"/>
  <c r="T582" i="1"/>
  <c r="T581" i="1"/>
  <c r="T580" i="1"/>
  <c r="T583" i="1"/>
  <c r="T586" i="1"/>
  <c r="T584" i="1"/>
  <c r="T585" i="1"/>
  <c r="T587" i="1"/>
  <c r="T590" i="1"/>
  <c r="T588" i="1"/>
  <c r="T589" i="1"/>
  <c r="T591" i="1"/>
  <c r="T594" i="1"/>
  <c r="T593" i="1"/>
  <c r="T592" i="1"/>
  <c r="T595" i="1"/>
  <c r="T598" i="1"/>
  <c r="T596" i="1"/>
  <c r="T597" i="1"/>
  <c r="T599" i="1"/>
  <c r="T602" i="1"/>
  <c r="T600" i="1"/>
  <c r="T601" i="1"/>
  <c r="T603" i="1"/>
  <c r="T606" i="1"/>
  <c r="T604" i="1"/>
  <c r="T605" i="1"/>
  <c r="T607" i="1"/>
  <c r="T610" i="1"/>
  <c r="T609" i="1"/>
  <c r="T608" i="1"/>
  <c r="T611" i="1"/>
  <c r="T615" i="1"/>
  <c r="T34" i="1"/>
  <c r="T733" i="1"/>
  <c r="T734" i="1"/>
  <c r="T737" i="1"/>
  <c r="T735" i="1"/>
  <c r="T736" i="1"/>
  <c r="T738" i="1"/>
  <c r="T741" i="1"/>
  <c r="T740" i="1"/>
  <c r="T742" i="1"/>
  <c r="T745" i="1"/>
  <c r="T743" i="1"/>
  <c r="T744" i="1"/>
  <c r="T746" i="1"/>
  <c r="T749" i="1"/>
  <c r="T748" i="1"/>
  <c r="T747" i="1"/>
  <c r="T750" i="1"/>
  <c r="T753" i="1"/>
  <c r="T751" i="1"/>
  <c r="T752" i="1"/>
  <c r="T754" i="1"/>
  <c r="T757" i="1"/>
  <c r="T755" i="1"/>
  <c r="T756" i="1"/>
  <c r="T758" i="1"/>
  <c r="T761" i="1"/>
  <c r="T759" i="1"/>
  <c r="T760" i="1"/>
  <c r="T762" i="1"/>
  <c r="T765" i="1"/>
  <c r="T763" i="1"/>
  <c r="T764" i="1"/>
  <c r="T766" i="1"/>
  <c r="T769" i="1"/>
  <c r="T767" i="1"/>
  <c r="T768" i="1"/>
  <c r="T770" i="1"/>
  <c r="T773" i="1"/>
  <c r="T771" i="1"/>
  <c r="T772" i="1"/>
  <c r="T774" i="1"/>
  <c r="T777" i="1"/>
  <c r="T775" i="1"/>
  <c r="T776" i="1"/>
  <c r="T778" i="1"/>
  <c r="T781" i="1"/>
  <c r="T780" i="1"/>
  <c r="T779" i="1"/>
  <c r="T782" i="1"/>
  <c r="T785" i="1"/>
  <c r="T784" i="1"/>
  <c r="T783" i="1"/>
  <c r="T786" i="1"/>
  <c r="T789" i="1"/>
  <c r="T787" i="1"/>
  <c r="T788" i="1"/>
  <c r="T790" i="1"/>
  <c r="T793" i="1"/>
  <c r="T791" i="1"/>
  <c r="T792" i="1"/>
  <c r="T794" i="1"/>
  <c r="T797" i="1"/>
  <c r="T796" i="1"/>
  <c r="T795" i="1"/>
  <c r="T798" i="1"/>
  <c r="T801" i="1"/>
  <c r="T800" i="1"/>
  <c r="T799" i="1"/>
  <c r="T802" i="1"/>
  <c r="T805" i="1"/>
  <c r="T803" i="1"/>
  <c r="T804" i="1"/>
  <c r="T806" i="1"/>
  <c r="T809" i="1"/>
  <c r="T807" i="1"/>
  <c r="T808" i="1"/>
  <c r="T810" i="1"/>
  <c r="T813" i="1"/>
  <c r="T812" i="1"/>
  <c r="T811" i="1"/>
  <c r="T814" i="1"/>
  <c r="T817" i="1"/>
  <c r="T816" i="1"/>
  <c r="T815" i="1"/>
  <c r="T818" i="1"/>
  <c r="T822" i="1"/>
  <c r="T44" i="1"/>
  <c r="B68" i="4"/>
  <c r="T616" i="1"/>
  <c r="T617" i="1"/>
  <c r="T618" i="1"/>
  <c r="T619" i="1"/>
  <c r="T35" i="1"/>
  <c r="T45" i="1"/>
  <c r="C68" i="4"/>
  <c r="T46" i="1"/>
  <c r="D68" i="4"/>
  <c r="T37" i="1"/>
  <c r="T47" i="1"/>
  <c r="E68" i="4"/>
  <c r="T656" i="1"/>
  <c r="T49" i="1"/>
  <c r="G68" i="4"/>
  <c r="T235" i="1"/>
  <c r="T213" i="1"/>
  <c r="H68" i="4"/>
  <c r="T59" i="1"/>
  <c r="I68" i="4"/>
  <c r="J68" i="4"/>
  <c r="K68" i="4"/>
  <c r="L68" i="4"/>
  <c r="M68" i="4"/>
  <c r="BK68" i="4"/>
  <c r="BM68" i="4"/>
  <c r="BO68" i="4"/>
  <c r="BP68" i="4"/>
  <c r="BR68" i="4"/>
  <c r="BS68" i="4"/>
  <c r="BW68" i="4"/>
  <c r="BX68" i="4"/>
  <c r="BY68" i="4"/>
  <c r="CA68" i="4"/>
  <c r="CB68" i="4"/>
  <c r="CD68" i="4"/>
  <c r="CG68" i="4"/>
  <c r="CJ68" i="4"/>
  <c r="A69" i="4"/>
  <c r="U522" i="1"/>
  <c r="U526" i="1"/>
  <c r="U527" i="1"/>
  <c r="U530" i="1"/>
  <c r="U528" i="1"/>
  <c r="U531" i="1"/>
  <c r="U534" i="1"/>
  <c r="U533" i="1"/>
  <c r="U535" i="1"/>
  <c r="U538" i="1"/>
  <c r="U536" i="1"/>
  <c r="U539" i="1"/>
  <c r="U542" i="1"/>
  <c r="U541" i="1"/>
  <c r="U543" i="1"/>
  <c r="U546" i="1"/>
  <c r="U544" i="1"/>
  <c r="U547" i="1"/>
  <c r="U550" i="1"/>
  <c r="U548" i="1"/>
  <c r="U549" i="1"/>
  <c r="U551" i="1"/>
  <c r="U554" i="1"/>
  <c r="U553" i="1"/>
  <c r="U552" i="1"/>
  <c r="U555" i="1"/>
  <c r="U558" i="1"/>
  <c r="U556" i="1"/>
  <c r="U557" i="1"/>
  <c r="U559" i="1"/>
  <c r="U562" i="1"/>
  <c r="U560" i="1"/>
  <c r="U561" i="1"/>
  <c r="U563" i="1"/>
  <c r="U566" i="1"/>
  <c r="U564" i="1"/>
  <c r="U565" i="1"/>
  <c r="U567" i="1"/>
  <c r="U570" i="1"/>
  <c r="U569" i="1"/>
  <c r="U568" i="1"/>
  <c r="U571" i="1"/>
  <c r="U574" i="1"/>
  <c r="U573" i="1"/>
  <c r="U572" i="1"/>
  <c r="U575" i="1"/>
  <c r="U578" i="1"/>
  <c r="U576" i="1"/>
  <c r="U577" i="1"/>
  <c r="U579" i="1"/>
  <c r="U582" i="1"/>
  <c r="U581" i="1"/>
  <c r="U580" i="1"/>
  <c r="U583" i="1"/>
  <c r="U586" i="1"/>
  <c r="U585" i="1"/>
  <c r="U584" i="1"/>
  <c r="U587" i="1"/>
  <c r="U590" i="1"/>
  <c r="U588" i="1"/>
  <c r="U589" i="1"/>
  <c r="U591" i="1"/>
  <c r="U594" i="1"/>
  <c r="U593" i="1"/>
  <c r="U592" i="1"/>
  <c r="U595" i="1"/>
  <c r="U598" i="1"/>
  <c r="U597" i="1"/>
  <c r="U596" i="1"/>
  <c r="U599" i="1"/>
  <c r="U602" i="1"/>
  <c r="U600" i="1"/>
  <c r="U601" i="1"/>
  <c r="U603" i="1"/>
  <c r="U606" i="1"/>
  <c r="U605" i="1"/>
  <c r="U604" i="1"/>
  <c r="U607" i="1"/>
  <c r="U610" i="1"/>
  <c r="U608" i="1"/>
  <c r="U609" i="1"/>
  <c r="U611" i="1"/>
  <c r="U615" i="1"/>
  <c r="U34" i="1"/>
  <c r="U733" i="1"/>
  <c r="U734" i="1"/>
  <c r="U737" i="1"/>
  <c r="U735" i="1"/>
  <c r="U736" i="1"/>
  <c r="U738" i="1"/>
  <c r="U741" i="1"/>
  <c r="U740" i="1"/>
  <c r="U742" i="1"/>
  <c r="U745" i="1"/>
  <c r="U743" i="1"/>
  <c r="U744" i="1"/>
  <c r="U746" i="1"/>
  <c r="U749" i="1"/>
  <c r="U748" i="1"/>
  <c r="U750" i="1"/>
  <c r="U753" i="1"/>
  <c r="U751" i="1"/>
  <c r="U752" i="1"/>
  <c r="U754" i="1"/>
  <c r="U757" i="1"/>
  <c r="U755" i="1"/>
  <c r="U756" i="1"/>
  <c r="U758" i="1"/>
  <c r="U761" i="1"/>
  <c r="U760" i="1"/>
  <c r="U759" i="1"/>
  <c r="U762" i="1"/>
  <c r="U765" i="1"/>
  <c r="U763" i="1"/>
  <c r="U764" i="1"/>
  <c r="U766" i="1"/>
  <c r="U769" i="1"/>
  <c r="U767" i="1"/>
  <c r="U768" i="1"/>
  <c r="U770" i="1"/>
  <c r="U773" i="1"/>
  <c r="U772" i="1"/>
  <c r="U771" i="1"/>
  <c r="U774" i="1"/>
  <c r="U777" i="1"/>
  <c r="U775" i="1"/>
  <c r="U776" i="1"/>
  <c r="U778" i="1"/>
  <c r="U781" i="1"/>
  <c r="U779" i="1"/>
  <c r="U780" i="1"/>
  <c r="U782" i="1"/>
  <c r="U785" i="1"/>
  <c r="U784" i="1"/>
  <c r="U783" i="1"/>
  <c r="U786" i="1"/>
  <c r="U789" i="1"/>
  <c r="U788" i="1"/>
  <c r="U787" i="1"/>
  <c r="U790" i="1"/>
  <c r="U793" i="1"/>
  <c r="U791" i="1"/>
  <c r="U792" i="1"/>
  <c r="U794" i="1"/>
  <c r="U797" i="1"/>
  <c r="U795" i="1"/>
  <c r="U796" i="1"/>
  <c r="U798" i="1"/>
  <c r="U801" i="1"/>
  <c r="U799" i="1"/>
  <c r="U800" i="1"/>
  <c r="U802" i="1"/>
  <c r="U805" i="1"/>
  <c r="U804" i="1"/>
  <c r="U803" i="1"/>
  <c r="U806" i="1"/>
  <c r="U809" i="1"/>
  <c r="U808" i="1"/>
  <c r="U807" i="1"/>
  <c r="U810" i="1"/>
  <c r="U813" i="1"/>
  <c r="U811" i="1"/>
  <c r="U812" i="1"/>
  <c r="U814" i="1"/>
  <c r="U817" i="1"/>
  <c r="U815" i="1"/>
  <c r="U816" i="1"/>
  <c r="U818" i="1"/>
  <c r="U822" i="1"/>
  <c r="U44" i="1"/>
  <c r="B69" i="4"/>
  <c r="U616" i="1"/>
  <c r="U617" i="1"/>
  <c r="U618" i="1"/>
  <c r="U619" i="1"/>
  <c r="U35" i="1"/>
  <c r="U45" i="1"/>
  <c r="C69" i="4"/>
  <c r="U46" i="1"/>
  <c r="D69" i="4"/>
  <c r="U37" i="1"/>
  <c r="U47" i="1"/>
  <c r="E69" i="4"/>
  <c r="U656" i="1"/>
  <c r="U49" i="1"/>
  <c r="G69" i="4"/>
  <c r="U235" i="1"/>
  <c r="U213" i="1"/>
  <c r="H69" i="4"/>
  <c r="U59" i="1"/>
  <c r="I69" i="4"/>
  <c r="J69" i="4"/>
  <c r="K69" i="4"/>
  <c r="L69" i="4"/>
  <c r="M69" i="4"/>
  <c r="BK69" i="4"/>
  <c r="BM69" i="4"/>
  <c r="BO69" i="4"/>
  <c r="BP69" i="4"/>
  <c r="BR69" i="4"/>
  <c r="BS69" i="4"/>
  <c r="BW69" i="4"/>
  <c r="BX69" i="4"/>
  <c r="BY69" i="4"/>
  <c r="CA69" i="4"/>
  <c r="CB69" i="4"/>
  <c r="CD69" i="4"/>
  <c r="CG69" i="4"/>
  <c r="CJ69" i="4"/>
  <c r="CV69" i="4"/>
  <c r="CX69" i="4"/>
  <c r="A70" i="4"/>
  <c r="V522" i="1"/>
  <c r="V526" i="1"/>
  <c r="V527" i="1"/>
  <c r="V530" i="1"/>
  <c r="V528" i="1"/>
  <c r="V531" i="1"/>
  <c r="V534" i="1"/>
  <c r="V533" i="1"/>
  <c r="V535" i="1"/>
  <c r="V538" i="1"/>
  <c r="V536" i="1"/>
  <c r="V539" i="1"/>
  <c r="V542" i="1"/>
  <c r="V540" i="1"/>
  <c r="V541" i="1"/>
  <c r="V543" i="1"/>
  <c r="V546" i="1"/>
  <c r="V545" i="1"/>
  <c r="V547" i="1"/>
  <c r="V550" i="1"/>
  <c r="V549" i="1"/>
  <c r="V548" i="1"/>
  <c r="V551" i="1"/>
  <c r="V554" i="1"/>
  <c r="V553" i="1"/>
  <c r="V552" i="1"/>
  <c r="V555" i="1"/>
  <c r="V558" i="1"/>
  <c r="V557" i="1"/>
  <c r="V556" i="1"/>
  <c r="V559" i="1"/>
  <c r="V562" i="1"/>
  <c r="V560" i="1"/>
  <c r="V561" i="1"/>
  <c r="V563" i="1"/>
  <c r="V566" i="1"/>
  <c r="V564" i="1"/>
  <c r="V565" i="1"/>
  <c r="V567" i="1"/>
  <c r="V570" i="1"/>
  <c r="V568" i="1"/>
  <c r="V571" i="1"/>
  <c r="V574" i="1"/>
  <c r="V572" i="1"/>
  <c r="V573" i="1"/>
  <c r="V575" i="1"/>
  <c r="V578" i="1"/>
  <c r="V577" i="1"/>
  <c r="V579" i="1"/>
  <c r="V582" i="1"/>
  <c r="V581" i="1"/>
  <c r="V580" i="1"/>
  <c r="V583" i="1"/>
  <c r="V586" i="1"/>
  <c r="V584" i="1"/>
  <c r="V585" i="1"/>
  <c r="V587" i="1"/>
  <c r="V590" i="1"/>
  <c r="V588" i="1"/>
  <c r="V589" i="1"/>
  <c r="V591" i="1"/>
  <c r="V594" i="1"/>
  <c r="V593" i="1"/>
  <c r="V592" i="1"/>
  <c r="V595" i="1"/>
  <c r="V598" i="1"/>
  <c r="V597" i="1"/>
  <c r="V596" i="1"/>
  <c r="V599" i="1"/>
  <c r="V602" i="1"/>
  <c r="V601" i="1"/>
  <c r="V600" i="1"/>
  <c r="V603" i="1"/>
  <c r="V606" i="1"/>
  <c r="V604" i="1"/>
  <c r="V605" i="1"/>
  <c r="V607" i="1"/>
  <c r="V610" i="1"/>
  <c r="V608" i="1"/>
  <c r="V611" i="1"/>
  <c r="V615" i="1"/>
  <c r="V34" i="1"/>
  <c r="V733" i="1"/>
  <c r="V734" i="1"/>
  <c r="V737" i="1"/>
  <c r="V735" i="1"/>
  <c r="V736" i="1"/>
  <c r="V738" i="1"/>
  <c r="V741" i="1"/>
  <c r="V740" i="1"/>
  <c r="V742" i="1"/>
  <c r="V745" i="1"/>
  <c r="V743" i="1"/>
  <c r="V744" i="1"/>
  <c r="V746" i="1"/>
  <c r="V749" i="1"/>
  <c r="V747" i="1"/>
  <c r="V748" i="1"/>
  <c r="V750" i="1"/>
  <c r="V753" i="1"/>
  <c r="V752" i="1"/>
  <c r="V754" i="1"/>
  <c r="V757" i="1"/>
  <c r="V756" i="1"/>
  <c r="V755" i="1"/>
  <c r="V758" i="1"/>
  <c r="V761" i="1"/>
  <c r="V760" i="1"/>
  <c r="V759" i="1"/>
  <c r="V762" i="1"/>
  <c r="V765" i="1"/>
  <c r="V764" i="1"/>
  <c r="V763" i="1"/>
  <c r="V766" i="1"/>
  <c r="V769" i="1"/>
  <c r="V767" i="1"/>
  <c r="V768" i="1"/>
  <c r="V770" i="1"/>
  <c r="V773" i="1"/>
  <c r="V771" i="1"/>
  <c r="V772" i="1"/>
  <c r="V774" i="1"/>
  <c r="V777" i="1"/>
  <c r="V776" i="1"/>
  <c r="V775" i="1"/>
  <c r="V778" i="1"/>
  <c r="V781" i="1"/>
  <c r="V779" i="1"/>
  <c r="V780" i="1"/>
  <c r="V782" i="1"/>
  <c r="V785" i="1"/>
  <c r="V783" i="1"/>
  <c r="V784" i="1"/>
  <c r="V786" i="1"/>
  <c r="V789" i="1"/>
  <c r="V787" i="1"/>
  <c r="V788" i="1"/>
  <c r="V790" i="1"/>
  <c r="V793" i="1"/>
  <c r="V791" i="1"/>
  <c r="V792" i="1"/>
  <c r="V794" i="1"/>
  <c r="V797" i="1"/>
  <c r="V796" i="1"/>
  <c r="V795" i="1"/>
  <c r="V798" i="1"/>
  <c r="V801" i="1"/>
  <c r="V800" i="1"/>
  <c r="V799" i="1"/>
  <c r="V802" i="1"/>
  <c r="V805" i="1"/>
  <c r="V804" i="1"/>
  <c r="V806" i="1"/>
  <c r="V809" i="1"/>
  <c r="V808" i="1"/>
  <c r="V807" i="1"/>
  <c r="V810" i="1"/>
  <c r="V813" i="1"/>
  <c r="V812" i="1"/>
  <c r="V814" i="1"/>
  <c r="V817" i="1"/>
  <c r="V816" i="1"/>
  <c r="V815" i="1"/>
  <c r="V818" i="1"/>
  <c r="V822" i="1"/>
  <c r="V44" i="1"/>
  <c r="B70" i="4"/>
  <c r="V616" i="1"/>
  <c r="V617" i="1"/>
  <c r="V618" i="1"/>
  <c r="V619" i="1"/>
  <c r="V35" i="1"/>
  <c r="V45" i="1"/>
  <c r="C70" i="4"/>
  <c r="V46" i="1"/>
  <c r="D70" i="4"/>
  <c r="V37" i="1"/>
  <c r="V47" i="1"/>
  <c r="E70" i="4"/>
  <c r="V656" i="1"/>
  <c r="V49" i="1"/>
  <c r="G70" i="4"/>
  <c r="V235" i="1"/>
  <c r="V213" i="1"/>
  <c r="H70" i="4"/>
  <c r="V59" i="1"/>
  <c r="I70" i="4"/>
  <c r="J70" i="4"/>
  <c r="K70" i="4"/>
  <c r="L70" i="4"/>
  <c r="M70" i="4"/>
  <c r="BK70" i="4"/>
  <c r="BM70" i="4"/>
  <c r="BO70" i="4"/>
  <c r="BP70" i="4"/>
  <c r="BR70" i="4"/>
  <c r="BS70" i="4"/>
  <c r="BW70" i="4"/>
  <c r="BX70" i="4"/>
  <c r="BY70" i="4"/>
  <c r="CA70" i="4"/>
  <c r="CB70" i="4"/>
  <c r="CD70" i="4"/>
  <c r="CG70" i="4"/>
  <c r="CJ70" i="4"/>
  <c r="CV70" i="4"/>
  <c r="DB70" i="4"/>
  <c r="CX70" i="4"/>
  <c r="A71" i="4"/>
  <c r="W522" i="1"/>
  <c r="W526" i="1"/>
  <c r="W527" i="1"/>
  <c r="W530" i="1"/>
  <c r="W528" i="1"/>
  <c r="W531" i="1"/>
  <c r="W534" i="1"/>
  <c r="W533" i="1"/>
  <c r="W535" i="1"/>
  <c r="W538" i="1"/>
  <c r="W536" i="1"/>
  <c r="W539" i="1"/>
  <c r="W542" i="1"/>
  <c r="W541" i="1"/>
  <c r="W543" i="1"/>
  <c r="W546" i="1"/>
  <c r="W544" i="1"/>
  <c r="W547" i="1"/>
  <c r="W550" i="1"/>
  <c r="W548" i="1"/>
  <c r="W549" i="1"/>
  <c r="W551" i="1"/>
  <c r="W554" i="1"/>
  <c r="W553" i="1"/>
  <c r="W552" i="1"/>
  <c r="W555" i="1"/>
  <c r="W558" i="1"/>
  <c r="W556" i="1"/>
  <c r="W557" i="1"/>
  <c r="W559" i="1"/>
  <c r="W562" i="1"/>
  <c r="W561" i="1"/>
  <c r="W563" i="1"/>
  <c r="W566" i="1"/>
  <c r="W565" i="1"/>
  <c r="W567" i="1"/>
  <c r="W570" i="1"/>
  <c r="W568" i="1"/>
  <c r="W569" i="1"/>
  <c r="W571" i="1"/>
  <c r="W574" i="1"/>
  <c r="W572" i="1"/>
  <c r="W573" i="1"/>
  <c r="W575" i="1"/>
  <c r="W578" i="1"/>
  <c r="W576" i="1"/>
  <c r="W577" i="1"/>
  <c r="W579" i="1"/>
  <c r="W582" i="1"/>
  <c r="W581" i="1"/>
  <c r="W580" i="1"/>
  <c r="W583" i="1"/>
  <c r="W586" i="1"/>
  <c r="W584" i="1"/>
  <c r="W585" i="1"/>
  <c r="W587" i="1"/>
  <c r="W590" i="1"/>
  <c r="W589" i="1"/>
  <c r="W588" i="1"/>
  <c r="W591" i="1"/>
  <c r="W594" i="1"/>
  <c r="W592" i="1"/>
  <c r="W593" i="1"/>
  <c r="W595" i="1"/>
  <c r="W598" i="1"/>
  <c r="W597" i="1"/>
  <c r="W596" i="1"/>
  <c r="W599" i="1"/>
  <c r="W602" i="1"/>
  <c r="W600" i="1"/>
  <c r="W601" i="1"/>
  <c r="W603" i="1"/>
  <c r="W606" i="1"/>
  <c r="W604" i="1"/>
  <c r="W605" i="1"/>
  <c r="W607" i="1"/>
  <c r="W610" i="1"/>
  <c r="W608" i="1"/>
  <c r="W609" i="1"/>
  <c r="W611" i="1"/>
  <c r="W615" i="1"/>
  <c r="W34" i="1"/>
  <c r="W733" i="1"/>
  <c r="W734" i="1"/>
  <c r="W737" i="1"/>
  <c r="W735" i="1"/>
  <c r="W736" i="1"/>
  <c r="W738" i="1"/>
  <c r="W741" i="1"/>
  <c r="W740" i="1"/>
  <c r="W742" i="1"/>
  <c r="W745" i="1"/>
  <c r="W743" i="1"/>
  <c r="W744" i="1"/>
  <c r="W746" i="1"/>
  <c r="W749" i="1"/>
  <c r="W748" i="1"/>
  <c r="W750" i="1"/>
  <c r="W753" i="1"/>
  <c r="W751" i="1"/>
  <c r="W752" i="1"/>
  <c r="W754" i="1"/>
  <c r="W757" i="1"/>
  <c r="W755" i="1"/>
  <c r="W756" i="1"/>
  <c r="W758" i="1"/>
  <c r="W761" i="1"/>
  <c r="W760" i="1"/>
  <c r="W759" i="1"/>
  <c r="W762" i="1"/>
  <c r="W765" i="1"/>
  <c r="W763" i="1"/>
  <c r="W764" i="1"/>
  <c r="W766" i="1"/>
  <c r="W769" i="1"/>
  <c r="W768" i="1"/>
  <c r="W767" i="1"/>
  <c r="W770" i="1"/>
  <c r="W773" i="1"/>
  <c r="W772" i="1"/>
  <c r="W771" i="1"/>
  <c r="W774" i="1"/>
  <c r="W777" i="1"/>
  <c r="W775" i="1"/>
  <c r="W776" i="1"/>
  <c r="W778" i="1"/>
  <c r="W781" i="1"/>
  <c r="W780" i="1"/>
  <c r="W779" i="1"/>
  <c r="W782" i="1"/>
  <c r="W785" i="1"/>
  <c r="W784" i="1"/>
  <c r="W783" i="1"/>
  <c r="W786" i="1"/>
  <c r="W789" i="1"/>
  <c r="W787" i="1"/>
  <c r="W788" i="1"/>
  <c r="W790" i="1"/>
  <c r="W793" i="1"/>
  <c r="W792" i="1"/>
  <c r="W791" i="1"/>
  <c r="W794" i="1"/>
  <c r="W797" i="1"/>
  <c r="W795" i="1"/>
  <c r="W796" i="1"/>
  <c r="W798" i="1"/>
  <c r="W801" i="1"/>
  <c r="W800" i="1"/>
  <c r="W799" i="1"/>
  <c r="W802" i="1"/>
  <c r="W805" i="1"/>
  <c r="W804" i="1"/>
  <c r="W803" i="1"/>
  <c r="W806" i="1"/>
  <c r="W809" i="1"/>
  <c r="W808" i="1"/>
  <c r="W807" i="1"/>
  <c r="W810" i="1"/>
  <c r="W813" i="1"/>
  <c r="W811" i="1"/>
  <c r="W812" i="1"/>
  <c r="W814" i="1"/>
  <c r="W817" i="1"/>
  <c r="W816" i="1"/>
  <c r="W815" i="1"/>
  <c r="W818" i="1"/>
  <c r="W822" i="1"/>
  <c r="W44" i="1"/>
  <c r="B71" i="4"/>
  <c r="W616" i="1"/>
  <c r="W617" i="1"/>
  <c r="W618" i="1"/>
  <c r="W619" i="1"/>
  <c r="W35" i="1"/>
  <c r="W45" i="1"/>
  <c r="C71" i="4"/>
  <c r="W46" i="1"/>
  <c r="D71" i="4"/>
  <c r="W37" i="1"/>
  <c r="W47" i="1"/>
  <c r="E71" i="4"/>
  <c r="W656" i="1"/>
  <c r="W49" i="1"/>
  <c r="G71" i="4"/>
  <c r="W235" i="1"/>
  <c r="W213" i="1"/>
  <c r="H71" i="4"/>
  <c r="W59" i="1"/>
  <c r="I71" i="4"/>
  <c r="J71" i="4"/>
  <c r="K71" i="4"/>
  <c r="L71" i="4"/>
  <c r="M71" i="4"/>
  <c r="BK71" i="4"/>
  <c r="BM71" i="4"/>
  <c r="BO71" i="4"/>
  <c r="BP71" i="4"/>
  <c r="BR71" i="4"/>
  <c r="BS71" i="4"/>
  <c r="BW71" i="4"/>
  <c r="BX71" i="4"/>
  <c r="BY71" i="4"/>
  <c r="CA71" i="4"/>
  <c r="CB71" i="4"/>
  <c r="CD71" i="4"/>
  <c r="CG71" i="4"/>
  <c r="CJ71" i="4"/>
  <c r="CV71" i="4"/>
  <c r="DB71" i="4"/>
  <c r="CX71" i="4"/>
  <c r="A72" i="4"/>
  <c r="X522" i="1"/>
  <c r="X526" i="1"/>
  <c r="X527" i="1"/>
  <c r="X530" i="1"/>
  <c r="X528" i="1"/>
  <c r="X531" i="1"/>
  <c r="X534" i="1"/>
  <c r="X533" i="1"/>
  <c r="X535" i="1"/>
  <c r="X538" i="1"/>
  <c r="X536" i="1"/>
  <c r="X539" i="1"/>
  <c r="X542" i="1"/>
  <c r="X541" i="1"/>
  <c r="X543" i="1"/>
  <c r="X546" i="1"/>
  <c r="X544" i="1"/>
  <c r="X547" i="1"/>
  <c r="X550" i="1"/>
  <c r="X548" i="1"/>
  <c r="X551" i="1"/>
  <c r="X554" i="1"/>
  <c r="X553" i="1"/>
  <c r="X552" i="1"/>
  <c r="X555" i="1"/>
  <c r="X558" i="1"/>
  <c r="X556" i="1"/>
  <c r="X557" i="1"/>
  <c r="X559" i="1"/>
  <c r="X562" i="1"/>
  <c r="X560" i="1"/>
  <c r="X561" i="1"/>
  <c r="X563" i="1"/>
  <c r="X566" i="1"/>
  <c r="X564" i="1"/>
  <c r="X565" i="1"/>
  <c r="X567" i="1"/>
  <c r="X570" i="1"/>
  <c r="X568" i="1"/>
  <c r="X569" i="1"/>
  <c r="X571" i="1"/>
  <c r="X574" i="1"/>
  <c r="X572" i="1"/>
  <c r="X573" i="1"/>
  <c r="X575" i="1"/>
  <c r="X578" i="1"/>
  <c r="X577" i="1"/>
  <c r="X576" i="1"/>
  <c r="X579" i="1"/>
  <c r="X582" i="1"/>
  <c r="X581" i="1"/>
  <c r="X583" i="1"/>
  <c r="X586" i="1"/>
  <c r="X585" i="1"/>
  <c r="X584" i="1"/>
  <c r="X587" i="1"/>
  <c r="X590" i="1"/>
  <c r="X588" i="1"/>
  <c r="X589" i="1"/>
  <c r="X591" i="1"/>
  <c r="X594" i="1"/>
  <c r="X593" i="1"/>
  <c r="X592" i="1"/>
  <c r="X595" i="1"/>
  <c r="X598" i="1"/>
  <c r="X597" i="1"/>
  <c r="X596" i="1"/>
  <c r="X599" i="1"/>
  <c r="X602" i="1"/>
  <c r="X600" i="1"/>
  <c r="X601" i="1"/>
  <c r="X603" i="1"/>
  <c r="X606" i="1"/>
  <c r="X604" i="1"/>
  <c r="X605" i="1"/>
  <c r="X607" i="1"/>
  <c r="X610" i="1"/>
  <c r="X608" i="1"/>
  <c r="X609" i="1"/>
  <c r="X611" i="1"/>
  <c r="X615" i="1"/>
  <c r="X34" i="1"/>
  <c r="X733" i="1"/>
  <c r="X734" i="1"/>
  <c r="X737" i="1"/>
  <c r="X735" i="1"/>
  <c r="X736" i="1"/>
  <c r="X738" i="1"/>
  <c r="X741" i="1"/>
  <c r="X740" i="1"/>
  <c r="X742" i="1"/>
  <c r="X745" i="1"/>
  <c r="X743" i="1"/>
  <c r="X744" i="1"/>
  <c r="X746" i="1"/>
  <c r="X749" i="1"/>
  <c r="X748" i="1"/>
  <c r="X750" i="1"/>
  <c r="X753" i="1"/>
  <c r="X751" i="1"/>
  <c r="X752" i="1"/>
  <c r="X754" i="1"/>
  <c r="X757" i="1"/>
  <c r="X755" i="1"/>
  <c r="X756" i="1"/>
  <c r="X758" i="1"/>
  <c r="X761" i="1"/>
  <c r="X760" i="1"/>
  <c r="X759" i="1"/>
  <c r="X762" i="1"/>
  <c r="X765" i="1"/>
  <c r="X763" i="1"/>
  <c r="X764" i="1"/>
  <c r="X766" i="1"/>
  <c r="X769" i="1"/>
  <c r="X767" i="1"/>
  <c r="X768" i="1"/>
  <c r="X770" i="1"/>
  <c r="X773" i="1"/>
  <c r="X771" i="1"/>
  <c r="X772" i="1"/>
  <c r="X774" i="1"/>
  <c r="X777" i="1"/>
  <c r="X776" i="1"/>
  <c r="X775" i="1"/>
  <c r="X778" i="1"/>
  <c r="X781" i="1"/>
  <c r="X779" i="1"/>
  <c r="X780" i="1"/>
  <c r="X782" i="1"/>
  <c r="X785" i="1"/>
  <c r="X783" i="1"/>
  <c r="X784" i="1"/>
  <c r="X786" i="1"/>
  <c r="X789" i="1"/>
  <c r="X788" i="1"/>
  <c r="X787" i="1"/>
  <c r="X790" i="1"/>
  <c r="X793" i="1"/>
  <c r="X791" i="1"/>
  <c r="X792" i="1"/>
  <c r="X794" i="1"/>
  <c r="X797" i="1"/>
  <c r="X795" i="1"/>
  <c r="X796" i="1"/>
  <c r="X798" i="1"/>
  <c r="X801" i="1"/>
  <c r="X799" i="1"/>
  <c r="X800" i="1"/>
  <c r="X802" i="1"/>
  <c r="X805" i="1"/>
  <c r="X804" i="1"/>
  <c r="X803" i="1"/>
  <c r="X806" i="1"/>
  <c r="X809" i="1"/>
  <c r="X808" i="1"/>
  <c r="X807" i="1"/>
  <c r="X810" i="1"/>
  <c r="X813" i="1"/>
  <c r="X811" i="1"/>
  <c r="X812" i="1"/>
  <c r="X814" i="1"/>
  <c r="X817" i="1"/>
  <c r="X816" i="1"/>
  <c r="X815" i="1"/>
  <c r="X818" i="1"/>
  <c r="X822" i="1"/>
  <c r="X44" i="1"/>
  <c r="B72" i="4"/>
  <c r="X616" i="1"/>
  <c r="X617" i="1"/>
  <c r="X618" i="1"/>
  <c r="X619" i="1"/>
  <c r="X35" i="1"/>
  <c r="X45" i="1"/>
  <c r="C72" i="4"/>
  <c r="X46" i="1"/>
  <c r="D72" i="4"/>
  <c r="X37" i="1"/>
  <c r="X47" i="1"/>
  <c r="E72" i="4"/>
  <c r="X656" i="1"/>
  <c r="X49" i="1"/>
  <c r="G72" i="4"/>
  <c r="X235" i="1"/>
  <c r="X213" i="1"/>
  <c r="H72" i="4"/>
  <c r="X59" i="1"/>
  <c r="I72" i="4"/>
  <c r="J72" i="4"/>
  <c r="K72" i="4"/>
  <c r="L72" i="4"/>
  <c r="M72" i="4"/>
  <c r="BK72" i="4"/>
  <c r="BM72" i="4"/>
  <c r="BO72" i="4"/>
  <c r="BP72" i="4"/>
  <c r="BR72" i="4"/>
  <c r="BS72" i="4"/>
  <c r="BW72" i="4"/>
  <c r="BX72" i="4"/>
  <c r="BY72" i="4"/>
  <c r="CA72" i="4"/>
  <c r="CB72" i="4"/>
  <c r="CD72" i="4"/>
  <c r="CG72" i="4"/>
  <c r="CJ72" i="4"/>
  <c r="CV72" i="4"/>
  <c r="A73" i="4"/>
  <c r="Y522" i="1"/>
  <c r="Y526" i="1"/>
  <c r="Y527" i="1"/>
  <c r="Y530" i="1"/>
  <c r="Y528" i="1"/>
  <c r="Y531" i="1"/>
  <c r="Y534" i="1"/>
  <c r="Y533" i="1"/>
  <c r="Y535" i="1"/>
  <c r="Y538" i="1"/>
  <c r="Y536" i="1"/>
  <c r="Y539" i="1"/>
  <c r="Y542" i="1"/>
  <c r="Y541" i="1"/>
  <c r="Y543" i="1"/>
  <c r="Y546" i="1"/>
  <c r="Y544" i="1"/>
  <c r="Y547" i="1"/>
  <c r="Y550" i="1"/>
  <c r="Y548" i="1"/>
  <c r="Y551" i="1"/>
  <c r="Y554" i="1"/>
  <c r="Y553" i="1"/>
  <c r="Y552" i="1"/>
  <c r="Y555" i="1"/>
  <c r="Y558" i="1"/>
  <c r="Y556" i="1"/>
  <c r="Y557" i="1"/>
  <c r="Y559" i="1"/>
  <c r="Y562" i="1"/>
  <c r="Y560" i="1"/>
  <c r="Y561" i="1"/>
  <c r="Y563" i="1"/>
  <c r="Y566" i="1"/>
  <c r="Y564" i="1"/>
  <c r="Y565" i="1"/>
  <c r="Y567" i="1"/>
  <c r="Y570" i="1"/>
  <c r="Y569" i="1"/>
  <c r="Y568" i="1"/>
  <c r="Y571" i="1"/>
  <c r="Y574" i="1"/>
  <c r="Y572" i="1"/>
  <c r="Y573" i="1"/>
  <c r="Y575" i="1"/>
  <c r="Y578" i="1"/>
  <c r="Y577" i="1"/>
  <c r="Y576" i="1"/>
  <c r="Y579" i="1"/>
  <c r="Y582" i="1"/>
  <c r="Y581" i="1"/>
  <c r="Y583" i="1"/>
  <c r="Y586" i="1"/>
  <c r="Y585" i="1"/>
  <c r="Y584" i="1"/>
  <c r="Y587" i="1"/>
  <c r="Y590" i="1"/>
  <c r="Y589" i="1"/>
  <c r="Y588" i="1"/>
  <c r="Y591" i="1"/>
  <c r="Y594" i="1"/>
  <c r="Y592" i="1"/>
  <c r="Y595" i="1"/>
  <c r="Y598" i="1"/>
  <c r="Y597" i="1"/>
  <c r="Y596" i="1"/>
  <c r="Y599" i="1"/>
  <c r="Y602" i="1"/>
  <c r="Y600" i="1"/>
  <c r="Y601" i="1"/>
  <c r="Y603" i="1"/>
  <c r="Y606" i="1"/>
  <c r="Y604" i="1"/>
  <c r="Y605" i="1"/>
  <c r="Y607" i="1"/>
  <c r="Y610" i="1"/>
  <c r="Y608" i="1"/>
  <c r="Y609" i="1"/>
  <c r="Y611" i="1"/>
  <c r="Y615" i="1"/>
  <c r="Y34" i="1"/>
  <c r="Y733" i="1"/>
  <c r="Y734" i="1"/>
  <c r="Y737" i="1"/>
  <c r="Y735" i="1"/>
  <c r="Y736" i="1"/>
  <c r="Y738" i="1"/>
  <c r="Y741" i="1"/>
  <c r="Y740" i="1"/>
  <c r="Y742" i="1"/>
  <c r="Y745" i="1"/>
  <c r="Y743" i="1"/>
  <c r="Y744" i="1"/>
  <c r="Y746" i="1"/>
  <c r="Y749" i="1"/>
  <c r="Y748" i="1"/>
  <c r="Y750" i="1"/>
  <c r="Y753" i="1"/>
  <c r="Y751" i="1"/>
  <c r="Y752" i="1"/>
  <c r="Y754" i="1"/>
  <c r="Y757" i="1"/>
  <c r="Y755" i="1"/>
  <c r="Y756" i="1"/>
  <c r="Y758" i="1"/>
  <c r="Y761" i="1"/>
  <c r="Y760" i="1"/>
  <c r="Y759" i="1"/>
  <c r="Y762" i="1"/>
  <c r="Y765" i="1"/>
  <c r="Y763" i="1"/>
  <c r="Y764" i="1"/>
  <c r="Y766" i="1"/>
  <c r="Y769" i="1"/>
  <c r="Y767" i="1"/>
  <c r="Y768" i="1"/>
  <c r="Y770" i="1"/>
  <c r="Y773" i="1"/>
  <c r="Y772" i="1"/>
  <c r="Y771" i="1"/>
  <c r="Y774" i="1"/>
  <c r="Y777" i="1"/>
  <c r="Y775" i="1"/>
  <c r="Y776" i="1"/>
  <c r="Y778" i="1"/>
  <c r="Y781" i="1"/>
  <c r="Y779" i="1"/>
  <c r="Y780" i="1"/>
  <c r="Y782" i="1"/>
  <c r="Y785" i="1"/>
  <c r="Y783" i="1"/>
  <c r="Y784" i="1"/>
  <c r="Y786" i="1"/>
  <c r="Y789" i="1"/>
  <c r="Y788" i="1"/>
  <c r="Y787" i="1"/>
  <c r="Y790" i="1"/>
  <c r="Y793" i="1"/>
  <c r="Y791" i="1"/>
  <c r="Y792" i="1"/>
  <c r="Y794" i="1"/>
  <c r="Y797" i="1"/>
  <c r="Y795" i="1"/>
  <c r="Y796" i="1"/>
  <c r="Y798" i="1"/>
  <c r="Y801" i="1"/>
  <c r="Y800" i="1"/>
  <c r="Y799" i="1"/>
  <c r="Y802" i="1"/>
  <c r="Y805" i="1"/>
  <c r="Y804" i="1"/>
  <c r="Y803" i="1"/>
  <c r="Y806" i="1"/>
  <c r="Y809" i="1"/>
  <c r="Y807" i="1"/>
  <c r="Y808" i="1"/>
  <c r="Y810" i="1"/>
  <c r="Y813" i="1"/>
  <c r="Y812" i="1"/>
  <c r="Y811" i="1"/>
  <c r="Y814" i="1"/>
  <c r="Y817" i="1"/>
  <c r="Y816" i="1"/>
  <c r="Y815" i="1"/>
  <c r="Y818" i="1"/>
  <c r="Y822" i="1"/>
  <c r="Y44" i="1"/>
  <c r="B73" i="4"/>
  <c r="Y616" i="1"/>
  <c r="Y617" i="1"/>
  <c r="Y618" i="1"/>
  <c r="Y619" i="1"/>
  <c r="Y35" i="1"/>
  <c r="Y45" i="1"/>
  <c r="C73" i="4"/>
  <c r="Y46" i="1"/>
  <c r="D73" i="4"/>
  <c r="Y37" i="1"/>
  <c r="Y47" i="1"/>
  <c r="E73" i="4"/>
  <c r="Y656" i="1"/>
  <c r="Y49" i="1"/>
  <c r="G73" i="4"/>
  <c r="Y235" i="1"/>
  <c r="Y213" i="1"/>
  <c r="H73" i="4"/>
  <c r="Y59" i="1"/>
  <c r="I73" i="4"/>
  <c r="J73" i="4"/>
  <c r="K73" i="4"/>
  <c r="L73" i="4"/>
  <c r="M73" i="4"/>
  <c r="BK73" i="4"/>
  <c r="BM73" i="4"/>
  <c r="BO73" i="4"/>
  <c r="BP73" i="4"/>
  <c r="BR73" i="4"/>
  <c r="BS73" i="4"/>
  <c r="BW73" i="4"/>
  <c r="BX73" i="4"/>
  <c r="BY73" i="4"/>
  <c r="CA73" i="4"/>
  <c r="CB73" i="4"/>
  <c r="CD73" i="4"/>
  <c r="CG73" i="4"/>
  <c r="CJ73" i="4"/>
  <c r="A74" i="4"/>
  <c r="Z522" i="1"/>
  <c r="Z526" i="1"/>
  <c r="Z527" i="1"/>
  <c r="Z530" i="1"/>
  <c r="Z528" i="1"/>
  <c r="Z531" i="1"/>
  <c r="Z534" i="1"/>
  <c r="Z533" i="1"/>
  <c r="Z535" i="1"/>
  <c r="Z538" i="1"/>
  <c r="Z536" i="1"/>
  <c r="Z539" i="1"/>
  <c r="Z542" i="1"/>
  <c r="Z541" i="1"/>
  <c r="Z543" i="1"/>
  <c r="Z546" i="1"/>
  <c r="Z544" i="1"/>
  <c r="Z547" i="1"/>
  <c r="Z550" i="1"/>
  <c r="Z548" i="1"/>
  <c r="Z549" i="1"/>
  <c r="Z551" i="1"/>
  <c r="Z554" i="1"/>
  <c r="Z553" i="1"/>
  <c r="Z552" i="1"/>
  <c r="Z555" i="1"/>
  <c r="Z558" i="1"/>
  <c r="Z556" i="1"/>
  <c r="Z557" i="1"/>
  <c r="Z559" i="1"/>
  <c r="Z562" i="1"/>
  <c r="Z561" i="1"/>
  <c r="Z560" i="1"/>
  <c r="Z563" i="1"/>
  <c r="Z566" i="1"/>
  <c r="Z564" i="1"/>
  <c r="Z565" i="1"/>
  <c r="Z567" i="1"/>
  <c r="Z570" i="1"/>
  <c r="Z569" i="1"/>
  <c r="Z568" i="1"/>
  <c r="Z571" i="1"/>
  <c r="Z574" i="1"/>
  <c r="Z573" i="1"/>
  <c r="Z572" i="1"/>
  <c r="Z575" i="1"/>
  <c r="Z578" i="1"/>
  <c r="Z577" i="1"/>
  <c r="Z579" i="1"/>
  <c r="Z582" i="1"/>
  <c r="Z581" i="1"/>
  <c r="Z580" i="1"/>
  <c r="Z583" i="1"/>
  <c r="Z586" i="1"/>
  <c r="Z584" i="1"/>
  <c r="Z585" i="1"/>
  <c r="Z587" i="1"/>
  <c r="Z590" i="1"/>
  <c r="Z588" i="1"/>
  <c r="Z591" i="1"/>
  <c r="Z594" i="1"/>
  <c r="Z593" i="1"/>
  <c r="Z592" i="1"/>
  <c r="Z595" i="1"/>
  <c r="Z598" i="1"/>
  <c r="Z597" i="1"/>
  <c r="Z599" i="1"/>
  <c r="Z602" i="1"/>
  <c r="Z601" i="1"/>
  <c r="Z600" i="1"/>
  <c r="Z603" i="1"/>
  <c r="Z606" i="1"/>
  <c r="Z605" i="1"/>
  <c r="Z607" i="1"/>
  <c r="Z610" i="1"/>
  <c r="Z609" i="1"/>
  <c r="Z608" i="1"/>
  <c r="Z611" i="1"/>
  <c r="Z615" i="1"/>
  <c r="Z34" i="1"/>
  <c r="Z733" i="1"/>
  <c r="Z734" i="1"/>
  <c r="Z737" i="1"/>
  <c r="Z735" i="1"/>
  <c r="Z736" i="1"/>
  <c r="Z738" i="1"/>
  <c r="Z741" i="1"/>
  <c r="Z740" i="1"/>
  <c r="Z742" i="1"/>
  <c r="Z745" i="1"/>
  <c r="Z743" i="1"/>
  <c r="Z744" i="1"/>
  <c r="Z746" i="1"/>
  <c r="Z749" i="1"/>
  <c r="Z748" i="1"/>
  <c r="Z750" i="1"/>
  <c r="Z753" i="1"/>
  <c r="Z751" i="1"/>
  <c r="Z752" i="1"/>
  <c r="Z754" i="1"/>
  <c r="Z757" i="1"/>
  <c r="Z755" i="1"/>
  <c r="Z756" i="1"/>
  <c r="Z758" i="1"/>
  <c r="Z761" i="1"/>
  <c r="Z760" i="1"/>
  <c r="Z759" i="1"/>
  <c r="Z762" i="1"/>
  <c r="Z765" i="1"/>
  <c r="Z763" i="1"/>
  <c r="Z764" i="1"/>
  <c r="Z766" i="1"/>
  <c r="Z769" i="1"/>
  <c r="Z768" i="1"/>
  <c r="Z767" i="1"/>
  <c r="Z770" i="1"/>
  <c r="Z773" i="1"/>
  <c r="Z772" i="1"/>
  <c r="Z771" i="1"/>
  <c r="Z774" i="1"/>
  <c r="Z777" i="1"/>
  <c r="Z775" i="1"/>
  <c r="Z776" i="1"/>
  <c r="Z778" i="1"/>
  <c r="Z781" i="1"/>
  <c r="Z780" i="1"/>
  <c r="Z779" i="1"/>
  <c r="Z782" i="1"/>
  <c r="Z785" i="1"/>
  <c r="Z783" i="1"/>
  <c r="Z784" i="1"/>
  <c r="Z786" i="1"/>
  <c r="Z789" i="1"/>
  <c r="Z787" i="1"/>
  <c r="Z788" i="1"/>
  <c r="Z790" i="1"/>
  <c r="Z793" i="1"/>
  <c r="Z792" i="1"/>
  <c r="Z791" i="1"/>
  <c r="Z794" i="1"/>
  <c r="Z797" i="1"/>
  <c r="Z795" i="1"/>
  <c r="Z796" i="1"/>
  <c r="Z798" i="1"/>
  <c r="Z801" i="1"/>
  <c r="Z800" i="1"/>
  <c r="Z799" i="1"/>
  <c r="Z802" i="1"/>
  <c r="Z805" i="1"/>
  <c r="Z803" i="1"/>
  <c r="Z804" i="1"/>
  <c r="Z806" i="1"/>
  <c r="Z809" i="1"/>
  <c r="Z808" i="1"/>
  <c r="Z807" i="1"/>
  <c r="Z810" i="1"/>
  <c r="Z813" i="1"/>
  <c r="Z811" i="1"/>
  <c r="Z812" i="1"/>
  <c r="Z814" i="1"/>
  <c r="Z817" i="1"/>
  <c r="Z816" i="1"/>
  <c r="Z815" i="1"/>
  <c r="Z818" i="1"/>
  <c r="Z822" i="1"/>
  <c r="Z44" i="1"/>
  <c r="B74" i="4"/>
  <c r="Z616" i="1"/>
  <c r="Z617" i="1"/>
  <c r="Z618" i="1"/>
  <c r="Z619" i="1"/>
  <c r="Z35" i="1"/>
  <c r="Z45" i="1"/>
  <c r="C74" i="4"/>
  <c r="Z46" i="1"/>
  <c r="D74" i="4"/>
  <c r="Z37" i="1"/>
  <c r="Z47" i="1"/>
  <c r="E74" i="4"/>
  <c r="Z656" i="1"/>
  <c r="Z49" i="1"/>
  <c r="G74" i="4"/>
  <c r="Z235" i="1"/>
  <c r="Z213" i="1"/>
  <c r="H74" i="4"/>
  <c r="Z59" i="1"/>
  <c r="I74" i="4"/>
  <c r="J74" i="4"/>
  <c r="K74" i="4"/>
  <c r="L74" i="4"/>
  <c r="M74" i="4"/>
  <c r="BK74" i="4"/>
  <c r="BM74" i="4"/>
  <c r="BO74" i="4"/>
  <c r="BP74" i="4"/>
  <c r="BR74" i="4"/>
  <c r="BS74" i="4"/>
  <c r="BW74" i="4"/>
  <c r="BX74" i="4"/>
  <c r="BY74" i="4"/>
  <c r="CA74" i="4"/>
  <c r="CB74" i="4"/>
  <c r="CD74" i="4"/>
  <c r="CG74" i="4"/>
  <c r="CJ74" i="4"/>
  <c r="A75" i="4"/>
  <c r="AA522" i="1"/>
  <c r="AA526" i="1"/>
  <c r="AA527" i="1"/>
  <c r="AA530" i="1"/>
  <c r="AA528" i="1"/>
  <c r="AA529" i="1"/>
  <c r="AA531" i="1"/>
  <c r="AA534" i="1"/>
  <c r="AA533" i="1"/>
  <c r="AA535" i="1"/>
  <c r="AA538" i="1"/>
  <c r="AA536" i="1"/>
  <c r="AA537" i="1"/>
  <c r="AA539" i="1"/>
  <c r="AA542" i="1"/>
  <c r="AA541" i="1"/>
  <c r="AA543" i="1"/>
  <c r="AA546" i="1"/>
  <c r="AA544" i="1"/>
  <c r="AA547" i="1"/>
  <c r="AA550" i="1"/>
  <c r="AA548" i="1"/>
  <c r="AA549" i="1"/>
  <c r="AA551" i="1"/>
  <c r="AA554" i="1"/>
  <c r="AA552" i="1"/>
  <c r="AA553" i="1"/>
  <c r="AA555" i="1"/>
  <c r="AA558" i="1"/>
  <c r="AA557" i="1"/>
  <c r="AA556" i="1"/>
  <c r="AA559" i="1"/>
  <c r="AA562" i="1"/>
  <c r="AA560" i="1"/>
  <c r="AA561" i="1"/>
  <c r="AA563" i="1"/>
  <c r="AA566" i="1"/>
  <c r="AA565" i="1"/>
  <c r="AA564" i="1"/>
  <c r="AA567" i="1"/>
  <c r="AA570" i="1"/>
  <c r="AA568" i="1"/>
  <c r="AA569" i="1"/>
  <c r="AA571" i="1"/>
  <c r="AA574" i="1"/>
  <c r="AA573" i="1"/>
  <c r="AA572" i="1"/>
  <c r="AA575" i="1"/>
  <c r="AA578" i="1"/>
  <c r="AA576" i="1"/>
  <c r="AA577" i="1"/>
  <c r="AA579" i="1"/>
  <c r="AA582" i="1"/>
  <c r="AA581" i="1"/>
  <c r="AA580" i="1"/>
  <c r="AA583" i="1"/>
  <c r="AA586" i="1"/>
  <c r="AA584" i="1"/>
  <c r="AA587" i="1"/>
  <c r="AA590" i="1"/>
  <c r="AA589" i="1"/>
  <c r="AA588" i="1"/>
  <c r="AA591" i="1"/>
  <c r="AA594" i="1"/>
  <c r="AA592" i="1"/>
  <c r="AA593" i="1"/>
  <c r="AA595" i="1"/>
  <c r="AA598" i="1"/>
  <c r="AA596" i="1"/>
  <c r="AA597" i="1"/>
  <c r="AA599" i="1"/>
  <c r="AA602" i="1"/>
  <c r="AA600" i="1"/>
  <c r="AA603" i="1"/>
  <c r="AA606" i="1"/>
  <c r="AA605" i="1"/>
  <c r="AA604" i="1"/>
  <c r="AA607" i="1"/>
  <c r="AA610" i="1"/>
  <c r="AA609" i="1"/>
  <c r="AA608" i="1"/>
  <c r="AA611" i="1"/>
  <c r="AA615" i="1"/>
  <c r="AA34" i="1"/>
  <c r="AA733" i="1"/>
  <c r="AA734" i="1"/>
  <c r="AA737" i="1"/>
  <c r="AA735" i="1"/>
  <c r="AA736" i="1"/>
  <c r="AA738" i="1"/>
  <c r="AA741" i="1"/>
  <c r="AA740" i="1"/>
  <c r="AA742" i="1"/>
  <c r="AA745" i="1"/>
  <c r="AA743" i="1"/>
  <c r="AA744" i="1"/>
  <c r="AA746" i="1"/>
  <c r="AA749" i="1"/>
  <c r="AA748" i="1"/>
  <c r="AA750" i="1"/>
  <c r="AA753" i="1"/>
  <c r="AA751" i="1"/>
  <c r="AA752" i="1"/>
  <c r="AA754" i="1"/>
  <c r="AA757" i="1"/>
  <c r="AA755" i="1"/>
  <c r="AA756" i="1"/>
  <c r="AA758" i="1"/>
  <c r="AA761" i="1"/>
  <c r="AA759" i="1"/>
  <c r="AA760" i="1"/>
  <c r="AA762" i="1"/>
  <c r="AA765" i="1"/>
  <c r="AA764" i="1"/>
  <c r="AA763" i="1"/>
  <c r="AA766" i="1"/>
  <c r="AA769" i="1"/>
  <c r="AA767" i="1"/>
  <c r="AA768" i="1"/>
  <c r="AA770" i="1"/>
  <c r="AA773" i="1"/>
  <c r="AA772" i="1"/>
  <c r="AA771" i="1"/>
  <c r="AA774" i="1"/>
  <c r="AA777" i="1"/>
  <c r="AA776" i="1"/>
  <c r="AA775" i="1"/>
  <c r="AA778" i="1"/>
  <c r="AA781" i="1"/>
  <c r="AA779" i="1"/>
  <c r="AA780" i="1"/>
  <c r="AA782" i="1"/>
  <c r="AA785" i="1"/>
  <c r="AA784" i="1"/>
  <c r="AA783" i="1"/>
  <c r="AA786" i="1"/>
  <c r="AA789" i="1"/>
  <c r="AA787" i="1"/>
  <c r="AA788" i="1"/>
  <c r="AA790" i="1"/>
  <c r="AA793" i="1"/>
  <c r="AA792" i="1"/>
  <c r="AA791" i="1"/>
  <c r="AA794" i="1"/>
  <c r="AA797" i="1"/>
  <c r="AA795" i="1"/>
  <c r="AA796" i="1"/>
  <c r="AA798" i="1"/>
  <c r="AA801" i="1"/>
  <c r="AA800" i="1"/>
  <c r="AA799" i="1"/>
  <c r="AA802" i="1"/>
  <c r="AA805" i="1"/>
  <c r="AA803" i="1"/>
  <c r="AA804" i="1"/>
  <c r="AA806" i="1"/>
  <c r="AA809" i="1"/>
  <c r="AA807" i="1"/>
  <c r="AA808" i="1"/>
  <c r="AA810" i="1"/>
  <c r="AA813" i="1"/>
  <c r="AA812" i="1"/>
  <c r="AA811" i="1"/>
  <c r="AA814" i="1"/>
  <c r="AA817" i="1"/>
  <c r="AA816" i="1"/>
  <c r="AA815" i="1"/>
  <c r="AA818" i="1"/>
  <c r="AA822" i="1"/>
  <c r="AA44" i="1"/>
  <c r="B75" i="4"/>
  <c r="AA616" i="1"/>
  <c r="AA617" i="1"/>
  <c r="AA618" i="1"/>
  <c r="AA619" i="1"/>
  <c r="AA35" i="1"/>
  <c r="AA45" i="1"/>
  <c r="C75" i="4"/>
  <c r="AA46" i="1"/>
  <c r="D75" i="4"/>
  <c r="AA37" i="1"/>
  <c r="AA47" i="1"/>
  <c r="E75" i="4"/>
  <c r="AA656" i="1"/>
  <c r="AA49" i="1"/>
  <c r="G75" i="4"/>
  <c r="AA235" i="1"/>
  <c r="AA213" i="1"/>
  <c r="H75" i="4"/>
  <c r="AA59" i="1"/>
  <c r="I75" i="4"/>
  <c r="J75" i="4"/>
  <c r="K75" i="4"/>
  <c r="L75" i="4"/>
  <c r="M75" i="4"/>
  <c r="BK75" i="4"/>
  <c r="BM75" i="4"/>
  <c r="BO75" i="4"/>
  <c r="BP75" i="4"/>
  <c r="BR75" i="4"/>
  <c r="BS75" i="4"/>
  <c r="BW75" i="4"/>
  <c r="BX75" i="4"/>
  <c r="BY75" i="4"/>
  <c r="CA75" i="4"/>
  <c r="CB75" i="4"/>
  <c r="CD75" i="4"/>
  <c r="CG75" i="4"/>
  <c r="CJ75" i="4"/>
  <c r="A76" i="4"/>
  <c r="AB522" i="1"/>
  <c r="AB526" i="1"/>
  <c r="AB527" i="1"/>
  <c r="AB530" i="1"/>
  <c r="AB528" i="1"/>
  <c r="AB529" i="1"/>
  <c r="AB531" i="1"/>
  <c r="AB534" i="1"/>
  <c r="AB533" i="1"/>
  <c r="AB535" i="1"/>
  <c r="AB538" i="1"/>
  <c r="AB536" i="1"/>
  <c r="AB537" i="1"/>
  <c r="AB539" i="1"/>
  <c r="AB542" i="1"/>
  <c r="AB541" i="1"/>
  <c r="AB543" i="1"/>
  <c r="AB546" i="1"/>
  <c r="AB544" i="1"/>
  <c r="AB547" i="1"/>
  <c r="AB550" i="1"/>
  <c r="AB548" i="1"/>
  <c r="AB549" i="1"/>
  <c r="AB551" i="1"/>
  <c r="AB554" i="1"/>
  <c r="AB552" i="1"/>
  <c r="AB553" i="1"/>
  <c r="AB555" i="1"/>
  <c r="AB558" i="1"/>
  <c r="AB557" i="1"/>
  <c r="AB559" i="1"/>
  <c r="AB562" i="1"/>
  <c r="AB561" i="1"/>
  <c r="AB560" i="1"/>
  <c r="AB563" i="1"/>
  <c r="AB566" i="1"/>
  <c r="AB565" i="1"/>
  <c r="AB564" i="1"/>
  <c r="AB567" i="1"/>
  <c r="AB570" i="1"/>
  <c r="AB568" i="1"/>
  <c r="AB569" i="1"/>
  <c r="AB571" i="1"/>
  <c r="AB574" i="1"/>
  <c r="AB573" i="1"/>
  <c r="AB572" i="1"/>
  <c r="AB575" i="1"/>
  <c r="AB578" i="1"/>
  <c r="AB576" i="1"/>
  <c r="AB579" i="1"/>
  <c r="AB582" i="1"/>
  <c r="AB580" i="1"/>
  <c r="AB581" i="1"/>
  <c r="AB583" i="1"/>
  <c r="AB586" i="1"/>
  <c r="AB585" i="1"/>
  <c r="AB584" i="1"/>
  <c r="AB587" i="1"/>
  <c r="AB590" i="1"/>
  <c r="AB589" i="1"/>
  <c r="AB591" i="1"/>
  <c r="AB594" i="1"/>
  <c r="AB593" i="1"/>
  <c r="AB592" i="1"/>
  <c r="AB595" i="1"/>
  <c r="AB598" i="1"/>
  <c r="AB597" i="1"/>
  <c r="AB596" i="1"/>
  <c r="AB599" i="1"/>
  <c r="AB602" i="1"/>
  <c r="AB601" i="1"/>
  <c r="AB600" i="1"/>
  <c r="AB603" i="1"/>
  <c r="AB606" i="1"/>
  <c r="AB604" i="1"/>
  <c r="AB605" i="1"/>
  <c r="AB607" i="1"/>
  <c r="AB610" i="1"/>
  <c r="AB609" i="1"/>
  <c r="AB608" i="1"/>
  <c r="AB611" i="1"/>
  <c r="AB615" i="1"/>
  <c r="AB34" i="1"/>
  <c r="AB733" i="1"/>
  <c r="AB734" i="1"/>
  <c r="AB737" i="1"/>
  <c r="AB735" i="1"/>
  <c r="AB736" i="1"/>
  <c r="AB738" i="1"/>
  <c r="AB741" i="1"/>
  <c r="AB740" i="1"/>
  <c r="AB742" i="1"/>
  <c r="AB745" i="1"/>
  <c r="AB743" i="1"/>
  <c r="AB744" i="1"/>
  <c r="AB746" i="1"/>
  <c r="AB749" i="1"/>
  <c r="AB748" i="1"/>
  <c r="AB750" i="1"/>
  <c r="AB753" i="1"/>
  <c r="AB751" i="1"/>
  <c r="AB752" i="1"/>
  <c r="AB754" i="1"/>
  <c r="AB757" i="1"/>
  <c r="AB755" i="1"/>
  <c r="AB756" i="1"/>
  <c r="AB758" i="1"/>
  <c r="AB761" i="1"/>
  <c r="AB759" i="1"/>
  <c r="AB760" i="1"/>
  <c r="AB762" i="1"/>
  <c r="AB765" i="1"/>
  <c r="AB764" i="1"/>
  <c r="AB766" i="1"/>
  <c r="AB769" i="1"/>
  <c r="AB768" i="1"/>
  <c r="AB767" i="1"/>
  <c r="AB770" i="1"/>
  <c r="AB773" i="1"/>
  <c r="AB772" i="1"/>
  <c r="AB771" i="1"/>
  <c r="AB774" i="1"/>
  <c r="AB777" i="1"/>
  <c r="AB776" i="1"/>
  <c r="AB775" i="1"/>
  <c r="AB778" i="1"/>
  <c r="AB781" i="1"/>
  <c r="AB779" i="1"/>
  <c r="AB780" i="1"/>
  <c r="AB782" i="1"/>
  <c r="AB785" i="1"/>
  <c r="AB784" i="1"/>
  <c r="AB783" i="1"/>
  <c r="AB786" i="1"/>
  <c r="AB789" i="1"/>
  <c r="AB787" i="1"/>
  <c r="AB788" i="1"/>
  <c r="AB790" i="1"/>
  <c r="AB793" i="1"/>
  <c r="AB791" i="1"/>
  <c r="AB792" i="1"/>
  <c r="AB794" i="1"/>
  <c r="AB797" i="1"/>
  <c r="AB796" i="1"/>
  <c r="AB795" i="1"/>
  <c r="AB798" i="1"/>
  <c r="AB801" i="1"/>
  <c r="AB799" i="1"/>
  <c r="AB800" i="1"/>
  <c r="AB802" i="1"/>
  <c r="AB805" i="1"/>
  <c r="AB804" i="1"/>
  <c r="AB803" i="1"/>
  <c r="AB806" i="1"/>
  <c r="AB809" i="1"/>
  <c r="AB808" i="1"/>
  <c r="AB807" i="1"/>
  <c r="AB810" i="1"/>
  <c r="AB813" i="1"/>
  <c r="AB811" i="1"/>
  <c r="AB812" i="1"/>
  <c r="AB814" i="1"/>
  <c r="AB817" i="1"/>
  <c r="AB816" i="1"/>
  <c r="AB815" i="1"/>
  <c r="AB818" i="1"/>
  <c r="AB822" i="1"/>
  <c r="AB44" i="1"/>
  <c r="B76" i="4"/>
  <c r="AB616" i="1"/>
  <c r="AB617" i="1"/>
  <c r="AB618" i="1"/>
  <c r="AB619" i="1"/>
  <c r="AB35" i="1"/>
  <c r="AB45" i="1"/>
  <c r="C76" i="4"/>
  <c r="AB46" i="1"/>
  <c r="D76" i="4"/>
  <c r="AB37" i="1"/>
  <c r="AB47" i="1"/>
  <c r="E76" i="4"/>
  <c r="AB656" i="1"/>
  <c r="AB49" i="1"/>
  <c r="G76" i="4"/>
  <c r="AB235" i="1"/>
  <c r="AB213" i="1"/>
  <c r="H76" i="4"/>
  <c r="AB59" i="1"/>
  <c r="I76" i="4"/>
  <c r="J76" i="4"/>
  <c r="K76" i="4"/>
  <c r="L76" i="4"/>
  <c r="M76" i="4"/>
  <c r="BK76" i="4"/>
  <c r="BM76" i="4"/>
  <c r="BO76" i="4"/>
  <c r="BP76" i="4"/>
  <c r="BR76" i="4"/>
  <c r="BS76" i="4"/>
  <c r="BW76" i="4"/>
  <c r="BX76" i="4"/>
  <c r="BY76" i="4"/>
  <c r="CA76" i="4"/>
  <c r="CB76" i="4"/>
  <c r="CD76" i="4"/>
  <c r="CG76" i="4"/>
  <c r="CJ76" i="4"/>
  <c r="CT76" i="4"/>
  <c r="A77" i="4"/>
  <c r="AC522" i="1"/>
  <c r="AC526" i="1"/>
  <c r="AC527" i="1"/>
  <c r="AC530" i="1"/>
  <c r="AC529" i="1"/>
  <c r="AC531" i="1"/>
  <c r="AC534" i="1"/>
  <c r="AC533" i="1"/>
  <c r="AC535" i="1"/>
  <c r="AC538" i="1"/>
  <c r="AC537" i="1"/>
  <c r="AC539" i="1"/>
  <c r="AC542" i="1"/>
  <c r="AC541" i="1"/>
  <c r="AC543" i="1"/>
  <c r="AC546" i="1"/>
  <c r="AC544" i="1"/>
  <c r="AC547" i="1"/>
  <c r="AC550" i="1"/>
  <c r="AC549" i="1"/>
  <c r="AC551" i="1"/>
  <c r="AC554" i="1"/>
  <c r="AC553" i="1"/>
  <c r="AC555" i="1"/>
  <c r="AC558" i="1"/>
  <c r="AC557" i="1"/>
  <c r="AC559" i="1"/>
  <c r="AC562" i="1"/>
  <c r="AC560" i="1"/>
  <c r="AC563" i="1"/>
  <c r="AC566" i="1"/>
  <c r="AC565" i="1"/>
  <c r="AC567" i="1"/>
  <c r="AC570" i="1"/>
  <c r="AC569" i="1"/>
  <c r="AC571" i="1"/>
  <c r="AC574" i="1"/>
  <c r="AC573" i="1"/>
  <c r="AC575" i="1"/>
  <c r="AC578" i="1"/>
  <c r="AC576" i="1"/>
  <c r="AC579" i="1"/>
  <c r="AC582" i="1"/>
  <c r="AC580" i="1"/>
  <c r="AC583" i="1"/>
  <c r="AC586" i="1"/>
  <c r="AC585" i="1"/>
  <c r="AC587" i="1"/>
  <c r="AC590" i="1"/>
  <c r="AC589" i="1"/>
  <c r="AC591" i="1"/>
  <c r="AC594" i="1"/>
  <c r="AC592" i="1"/>
  <c r="AC595" i="1"/>
  <c r="AC598" i="1"/>
  <c r="AC596" i="1"/>
  <c r="AC599" i="1"/>
  <c r="AC602" i="1"/>
  <c r="AC601" i="1"/>
  <c r="AC603" i="1"/>
  <c r="AC606" i="1"/>
  <c r="AC605" i="1"/>
  <c r="AC607" i="1"/>
  <c r="AC610" i="1"/>
  <c r="AC609" i="1"/>
  <c r="AC611" i="1"/>
  <c r="AC615" i="1"/>
  <c r="AC34" i="1"/>
  <c r="AC733" i="1"/>
  <c r="AC734" i="1"/>
  <c r="AC737" i="1"/>
  <c r="AC736" i="1"/>
  <c r="AC738" i="1"/>
  <c r="AC741" i="1"/>
  <c r="AC740" i="1"/>
  <c r="AC742" i="1"/>
  <c r="AC745" i="1"/>
  <c r="AC744" i="1"/>
  <c r="AC746" i="1"/>
  <c r="AC749" i="1"/>
  <c r="AC748" i="1"/>
  <c r="AC750" i="1"/>
  <c r="AC753" i="1"/>
  <c r="AC751" i="1"/>
  <c r="AC752" i="1"/>
  <c r="AC754" i="1"/>
  <c r="AC757" i="1"/>
  <c r="AC756" i="1"/>
  <c r="AC758" i="1"/>
  <c r="AC761" i="1"/>
  <c r="AC760" i="1"/>
  <c r="AC762" i="1"/>
  <c r="AC765" i="1"/>
  <c r="AC764" i="1"/>
  <c r="AC766" i="1"/>
  <c r="AC769" i="1"/>
  <c r="AC767" i="1"/>
  <c r="AC768" i="1"/>
  <c r="AC770" i="1"/>
  <c r="AC773" i="1"/>
  <c r="AC772" i="1"/>
  <c r="AC774" i="1"/>
  <c r="AC777" i="1"/>
  <c r="AC776" i="1"/>
  <c r="AC778" i="1"/>
  <c r="AC781" i="1"/>
  <c r="AC780" i="1"/>
  <c r="AC782" i="1"/>
  <c r="AC785" i="1"/>
  <c r="AC783" i="1"/>
  <c r="AC784" i="1"/>
  <c r="AC786" i="1"/>
  <c r="AC789" i="1"/>
  <c r="AC788" i="1"/>
  <c r="AC790" i="1"/>
  <c r="AC793" i="1"/>
  <c r="AC791" i="1"/>
  <c r="AC792" i="1"/>
  <c r="AC794" i="1"/>
  <c r="AC797" i="1"/>
  <c r="AC795" i="1"/>
  <c r="AC796" i="1"/>
  <c r="AC798" i="1"/>
  <c r="AC801" i="1"/>
  <c r="AC799" i="1"/>
  <c r="AC800" i="1"/>
  <c r="AC802" i="1"/>
  <c r="AC805" i="1"/>
  <c r="AC804" i="1"/>
  <c r="AC806" i="1"/>
  <c r="AC809" i="1"/>
  <c r="AC808" i="1"/>
  <c r="AC810" i="1"/>
  <c r="AC813" i="1"/>
  <c r="AC812" i="1"/>
  <c r="AC814" i="1"/>
  <c r="AC817" i="1"/>
  <c r="AC815" i="1"/>
  <c r="AC816" i="1"/>
  <c r="AC818" i="1"/>
  <c r="AC822" i="1"/>
  <c r="AC44" i="1"/>
  <c r="B77" i="4"/>
  <c r="AC616" i="1"/>
  <c r="AC617" i="1"/>
  <c r="AC618" i="1"/>
  <c r="AC619" i="1"/>
  <c r="AC35" i="1"/>
  <c r="AC45" i="1"/>
  <c r="C77" i="4"/>
  <c r="AC46" i="1"/>
  <c r="D77" i="4"/>
  <c r="AC37" i="1"/>
  <c r="AC47" i="1"/>
  <c r="E77" i="4"/>
  <c r="AC656" i="1"/>
  <c r="AC49" i="1"/>
  <c r="G77" i="4"/>
  <c r="AC235" i="1"/>
  <c r="AC213" i="1"/>
  <c r="H77" i="4"/>
  <c r="AC59" i="1"/>
  <c r="I77" i="4"/>
  <c r="J77" i="4"/>
  <c r="K77" i="4"/>
  <c r="L77" i="4"/>
  <c r="M77" i="4"/>
  <c r="BK77" i="4"/>
  <c r="BM77" i="4"/>
  <c r="BO77" i="4"/>
  <c r="BP77" i="4"/>
  <c r="BR77" i="4"/>
  <c r="BS77" i="4"/>
  <c r="BW77" i="4"/>
  <c r="BX77" i="4"/>
  <c r="BY77" i="4"/>
  <c r="CA77" i="4"/>
  <c r="CB77" i="4"/>
  <c r="CD77" i="4"/>
  <c r="CG77" i="4"/>
  <c r="CJ77" i="4"/>
  <c r="CT77" i="4"/>
  <c r="DE77" i="4"/>
  <c r="EC77" i="4"/>
  <c r="A78" i="4"/>
  <c r="AD522" i="1"/>
  <c r="AD526" i="1"/>
  <c r="AD527" i="1"/>
  <c r="AD530" i="1"/>
  <c r="AD529" i="1"/>
  <c r="AD531" i="1"/>
  <c r="AD534" i="1"/>
  <c r="AD533" i="1"/>
  <c r="AD535" i="1"/>
  <c r="AD538" i="1"/>
  <c r="AD537" i="1"/>
  <c r="AD539" i="1"/>
  <c r="AD542" i="1"/>
  <c r="AD541" i="1"/>
  <c r="AD543" i="1"/>
  <c r="AD546" i="1"/>
  <c r="AD544" i="1"/>
  <c r="AD547" i="1"/>
  <c r="AD550" i="1"/>
  <c r="AD549" i="1"/>
  <c r="AD551" i="1"/>
  <c r="AD554" i="1"/>
  <c r="AD553" i="1"/>
  <c r="AD555" i="1"/>
  <c r="AD558" i="1"/>
  <c r="AD557" i="1"/>
  <c r="AD559" i="1"/>
  <c r="AD562" i="1"/>
  <c r="AD560" i="1"/>
  <c r="AD563" i="1"/>
  <c r="AD566" i="1"/>
  <c r="AD565" i="1"/>
  <c r="AD567" i="1"/>
  <c r="AD570" i="1"/>
  <c r="AD569" i="1"/>
  <c r="AD571" i="1"/>
  <c r="AD574" i="1"/>
  <c r="AD572" i="1"/>
  <c r="AD575" i="1"/>
  <c r="AD578" i="1"/>
  <c r="AD577" i="1"/>
  <c r="AD579" i="1"/>
  <c r="AD582" i="1"/>
  <c r="AD580" i="1"/>
  <c r="AD583" i="1"/>
  <c r="AD586" i="1"/>
  <c r="AD585" i="1"/>
  <c r="AD587" i="1"/>
  <c r="AD590" i="1"/>
  <c r="AD588" i="1"/>
  <c r="AD591" i="1"/>
  <c r="AD594" i="1"/>
  <c r="AD592" i="1"/>
  <c r="AD595" i="1"/>
  <c r="AD598" i="1"/>
  <c r="AD596" i="1"/>
  <c r="AD599" i="1"/>
  <c r="AD602" i="1"/>
  <c r="AD601" i="1"/>
  <c r="AD603" i="1"/>
  <c r="AD606" i="1"/>
  <c r="AD605" i="1"/>
  <c r="AD607" i="1"/>
  <c r="AD610" i="1"/>
  <c r="AD609" i="1"/>
  <c r="AD611" i="1"/>
  <c r="AD615" i="1"/>
  <c r="AD34" i="1"/>
  <c r="AD733" i="1"/>
  <c r="AD734" i="1"/>
  <c r="AD737" i="1"/>
  <c r="AD736" i="1"/>
  <c r="AD738" i="1"/>
  <c r="AD741" i="1"/>
  <c r="AD740" i="1"/>
  <c r="AD742" i="1"/>
  <c r="AD745" i="1"/>
  <c r="AD744" i="1"/>
  <c r="AD746" i="1"/>
  <c r="AD749" i="1"/>
  <c r="AD748" i="1"/>
  <c r="AD750" i="1"/>
  <c r="AD753" i="1"/>
  <c r="AD751" i="1"/>
  <c r="AD752" i="1"/>
  <c r="AD754" i="1"/>
  <c r="AD757" i="1"/>
  <c r="AD756" i="1"/>
  <c r="AD758" i="1"/>
  <c r="AD761" i="1"/>
  <c r="AD760" i="1"/>
  <c r="AD762" i="1"/>
  <c r="AD765" i="1"/>
  <c r="AD764" i="1"/>
  <c r="AD766" i="1"/>
  <c r="AD769" i="1"/>
  <c r="AD767" i="1"/>
  <c r="AD768" i="1"/>
  <c r="AD770" i="1"/>
  <c r="AD773" i="1"/>
  <c r="AD772" i="1"/>
  <c r="AD774" i="1"/>
  <c r="AD777" i="1"/>
  <c r="AD776" i="1"/>
  <c r="AD778" i="1"/>
  <c r="AD781" i="1"/>
  <c r="AD779" i="1"/>
  <c r="AD780" i="1"/>
  <c r="AD782" i="1"/>
  <c r="AD785" i="1"/>
  <c r="AD784" i="1"/>
  <c r="AD786" i="1"/>
  <c r="AD789" i="1"/>
  <c r="AD787" i="1"/>
  <c r="AD788" i="1"/>
  <c r="AD790" i="1"/>
  <c r="AD793" i="1"/>
  <c r="AD792" i="1"/>
  <c r="AD794" i="1"/>
  <c r="AD797" i="1"/>
  <c r="AD796" i="1"/>
  <c r="AD798" i="1"/>
  <c r="AD801" i="1"/>
  <c r="AD799" i="1"/>
  <c r="AD800" i="1"/>
  <c r="AD802" i="1"/>
  <c r="AD805" i="1"/>
  <c r="AD804" i="1"/>
  <c r="AD806" i="1"/>
  <c r="AD809" i="1"/>
  <c r="AD808" i="1"/>
  <c r="AD810" i="1"/>
  <c r="AD813" i="1"/>
  <c r="AD812" i="1"/>
  <c r="AD814" i="1"/>
  <c r="AD817" i="1"/>
  <c r="AD815" i="1"/>
  <c r="AD816" i="1"/>
  <c r="AD818" i="1"/>
  <c r="AD822" i="1"/>
  <c r="AD44" i="1"/>
  <c r="B78" i="4"/>
  <c r="AD616" i="1"/>
  <c r="AD617" i="1"/>
  <c r="AD618" i="1"/>
  <c r="AD619" i="1"/>
  <c r="AD35" i="1"/>
  <c r="AD45" i="1"/>
  <c r="C78" i="4"/>
  <c r="AD46" i="1"/>
  <c r="D78" i="4"/>
  <c r="AD37" i="1"/>
  <c r="AD47" i="1"/>
  <c r="E78" i="4"/>
  <c r="AD656" i="1"/>
  <c r="AD49" i="1"/>
  <c r="G78" i="4"/>
  <c r="AD235" i="1"/>
  <c r="AD213" i="1"/>
  <c r="H78" i="4"/>
  <c r="AD59" i="1"/>
  <c r="I78" i="4"/>
  <c r="J78" i="4"/>
  <c r="K78" i="4"/>
  <c r="L78" i="4"/>
  <c r="M78" i="4"/>
  <c r="BK78" i="4"/>
  <c r="BM78" i="4"/>
  <c r="BO78" i="4"/>
  <c r="BP78" i="4"/>
  <c r="BR78" i="4"/>
  <c r="BS78" i="4"/>
  <c r="BW78" i="4"/>
  <c r="BX78" i="4"/>
  <c r="BY78" i="4"/>
  <c r="CA78" i="4"/>
  <c r="CB78" i="4"/>
  <c r="CD78" i="4"/>
  <c r="CG78" i="4"/>
  <c r="CJ78" i="4"/>
  <c r="CT78" i="4"/>
  <c r="DD78" i="4"/>
  <c r="DF78" i="4"/>
  <c r="EC78" i="4"/>
  <c r="A79" i="4"/>
  <c r="AE522" i="1"/>
  <c r="AE526" i="1"/>
  <c r="AE527" i="1"/>
  <c r="AE530" i="1"/>
  <c r="AE529" i="1"/>
  <c r="AE531" i="1"/>
  <c r="AE534" i="1"/>
  <c r="AE533" i="1"/>
  <c r="AE535" i="1"/>
  <c r="AE538" i="1"/>
  <c r="AE537" i="1"/>
  <c r="AE539" i="1"/>
  <c r="AE542" i="1"/>
  <c r="AE541" i="1"/>
  <c r="AE543" i="1"/>
  <c r="AE546" i="1"/>
  <c r="AE544" i="1"/>
  <c r="AE547" i="1"/>
  <c r="AE550" i="1"/>
  <c r="AE549" i="1"/>
  <c r="AE551" i="1"/>
  <c r="AE554" i="1"/>
  <c r="AE553" i="1"/>
  <c r="AE555" i="1"/>
  <c r="AE558" i="1"/>
  <c r="AE557" i="1"/>
  <c r="AE559" i="1"/>
  <c r="AE562" i="1"/>
  <c r="AE561" i="1"/>
  <c r="AE563" i="1"/>
  <c r="AE566" i="1"/>
  <c r="AE564" i="1"/>
  <c r="AE567" i="1"/>
  <c r="AE570" i="1"/>
  <c r="AE569" i="1"/>
  <c r="AE571" i="1"/>
  <c r="AE574" i="1"/>
  <c r="AE572" i="1"/>
  <c r="AE575" i="1"/>
  <c r="AE578" i="1"/>
  <c r="AE576" i="1"/>
  <c r="AE579" i="1"/>
  <c r="AE582" i="1"/>
  <c r="AE580" i="1"/>
  <c r="AE583" i="1"/>
  <c r="AE586" i="1"/>
  <c r="AE584" i="1"/>
  <c r="AE587" i="1"/>
  <c r="AE590" i="1"/>
  <c r="AE588" i="1"/>
  <c r="AE591" i="1"/>
  <c r="AE594" i="1"/>
  <c r="AE593" i="1"/>
  <c r="AE595" i="1"/>
  <c r="AE598" i="1"/>
  <c r="AE596" i="1"/>
  <c r="AE599" i="1"/>
  <c r="AE602" i="1"/>
  <c r="AE601" i="1"/>
  <c r="AE603" i="1"/>
  <c r="AE606" i="1"/>
  <c r="AE605" i="1"/>
  <c r="AE607" i="1"/>
  <c r="AE610" i="1"/>
  <c r="AE608" i="1"/>
  <c r="AE611" i="1"/>
  <c r="AE615" i="1"/>
  <c r="AE34" i="1"/>
  <c r="AE733" i="1"/>
  <c r="AE734" i="1"/>
  <c r="AE737" i="1"/>
  <c r="AE736" i="1"/>
  <c r="AE738" i="1"/>
  <c r="AE741" i="1"/>
  <c r="AE740" i="1"/>
  <c r="AE742" i="1"/>
  <c r="AE745" i="1"/>
  <c r="AE744" i="1"/>
  <c r="AE746" i="1"/>
  <c r="AE749" i="1"/>
  <c r="AE748" i="1"/>
  <c r="AE750" i="1"/>
  <c r="AE753" i="1"/>
  <c r="AE751" i="1"/>
  <c r="AE752" i="1"/>
  <c r="AE754" i="1"/>
  <c r="AE757" i="1"/>
  <c r="AE756" i="1"/>
  <c r="AE758" i="1"/>
  <c r="AE761" i="1"/>
  <c r="AE760" i="1"/>
  <c r="AE762" i="1"/>
  <c r="AE765" i="1"/>
  <c r="AE764" i="1"/>
  <c r="AE766" i="1"/>
  <c r="AE769" i="1"/>
  <c r="AE768" i="1"/>
  <c r="AE770" i="1"/>
  <c r="AE773" i="1"/>
  <c r="AE771" i="1"/>
  <c r="AE772" i="1"/>
  <c r="AE774" i="1"/>
  <c r="AE777" i="1"/>
  <c r="AE776" i="1"/>
  <c r="AE778" i="1"/>
  <c r="AE781" i="1"/>
  <c r="AE779" i="1"/>
  <c r="AE780" i="1"/>
  <c r="AE782" i="1"/>
  <c r="AE785" i="1"/>
  <c r="AE783" i="1"/>
  <c r="AE784" i="1"/>
  <c r="AE786" i="1"/>
  <c r="AE789" i="1"/>
  <c r="AE787" i="1"/>
  <c r="AE788" i="1"/>
  <c r="AE790" i="1"/>
  <c r="AE793" i="1"/>
  <c r="AE791" i="1"/>
  <c r="AE792" i="1"/>
  <c r="AE794" i="1"/>
  <c r="AE797" i="1"/>
  <c r="AE796" i="1"/>
  <c r="AE798" i="1"/>
  <c r="AE801" i="1"/>
  <c r="AE800" i="1"/>
  <c r="AE802" i="1"/>
  <c r="AE805" i="1"/>
  <c r="AE804" i="1"/>
  <c r="AE806" i="1"/>
  <c r="AE809" i="1"/>
  <c r="AE808" i="1"/>
  <c r="AE810" i="1"/>
  <c r="AE813" i="1"/>
  <c r="AE811" i="1"/>
  <c r="AE812" i="1"/>
  <c r="AE814" i="1"/>
  <c r="AE817" i="1"/>
  <c r="AE816" i="1"/>
  <c r="AE818" i="1"/>
  <c r="AE822" i="1"/>
  <c r="AE44" i="1"/>
  <c r="B79" i="4"/>
  <c r="AE616" i="1"/>
  <c r="AE617" i="1"/>
  <c r="AE618" i="1"/>
  <c r="AE619" i="1"/>
  <c r="AE35" i="1"/>
  <c r="AE45" i="1"/>
  <c r="C79" i="4"/>
  <c r="AE46" i="1"/>
  <c r="D79" i="4"/>
  <c r="AE37" i="1"/>
  <c r="AE47" i="1"/>
  <c r="E79" i="4"/>
  <c r="AE656" i="1"/>
  <c r="AE49" i="1"/>
  <c r="G79" i="4"/>
  <c r="AE235" i="1"/>
  <c r="AE213" i="1"/>
  <c r="H79" i="4"/>
  <c r="AE59" i="1"/>
  <c r="I79" i="4"/>
  <c r="J79" i="4"/>
  <c r="K79" i="4"/>
  <c r="L79" i="4"/>
  <c r="M79" i="4"/>
  <c r="BK79" i="4"/>
  <c r="BM79" i="4"/>
  <c r="BO79" i="4"/>
  <c r="BP79" i="4"/>
  <c r="BR79" i="4"/>
  <c r="BS79" i="4"/>
  <c r="BW79" i="4"/>
  <c r="BX79" i="4"/>
  <c r="BY79" i="4"/>
  <c r="CA79" i="4"/>
  <c r="CB79" i="4"/>
  <c r="CD79" i="4"/>
  <c r="CG79" i="4"/>
  <c r="CJ79" i="4"/>
  <c r="CT79" i="4"/>
  <c r="EC79" i="4"/>
  <c r="A80" i="4"/>
  <c r="AF522" i="1"/>
  <c r="AF526" i="1"/>
  <c r="AF527" i="1"/>
  <c r="AF530" i="1"/>
  <c r="AF529" i="1"/>
  <c r="AF531" i="1"/>
  <c r="AF534" i="1"/>
  <c r="AF533" i="1"/>
  <c r="AF535" i="1"/>
  <c r="AF538" i="1"/>
  <c r="AF537" i="1"/>
  <c r="AF539" i="1"/>
  <c r="AF542" i="1"/>
  <c r="AF541" i="1"/>
  <c r="AF543" i="1"/>
  <c r="AF546" i="1"/>
  <c r="AF544" i="1"/>
  <c r="AF547" i="1"/>
  <c r="AF550" i="1"/>
  <c r="AF549" i="1"/>
  <c r="AF551" i="1"/>
  <c r="AF554" i="1"/>
  <c r="AF553" i="1"/>
  <c r="AF555" i="1"/>
  <c r="AF558" i="1"/>
  <c r="AF557" i="1"/>
  <c r="AF559" i="1"/>
  <c r="AF562" i="1"/>
  <c r="AF560" i="1"/>
  <c r="AF563" i="1"/>
  <c r="AF566" i="1"/>
  <c r="AF565" i="1"/>
  <c r="AF567" i="1"/>
  <c r="AF570" i="1"/>
  <c r="AF569" i="1"/>
  <c r="AF571" i="1"/>
  <c r="AF574" i="1"/>
  <c r="AF572" i="1"/>
  <c r="AF575" i="1"/>
  <c r="AF578" i="1"/>
  <c r="AF577" i="1"/>
  <c r="AF579" i="1"/>
  <c r="AF582" i="1"/>
  <c r="AF580" i="1"/>
  <c r="AF583" i="1"/>
  <c r="AF586" i="1"/>
  <c r="AF585" i="1"/>
  <c r="AF587" i="1"/>
  <c r="AF590" i="1"/>
  <c r="AF589" i="1"/>
  <c r="AF591" i="1"/>
  <c r="AF594" i="1"/>
  <c r="AF592" i="1"/>
  <c r="AF595" i="1"/>
  <c r="AF598" i="1"/>
  <c r="AF597" i="1"/>
  <c r="AF599" i="1"/>
  <c r="AF602" i="1"/>
  <c r="AF601" i="1"/>
  <c r="AF603" i="1"/>
  <c r="AF606" i="1"/>
  <c r="AF605" i="1"/>
  <c r="AF607" i="1"/>
  <c r="AF610" i="1"/>
  <c r="AF608" i="1"/>
  <c r="AF611" i="1"/>
  <c r="AF615" i="1"/>
  <c r="AF34" i="1"/>
  <c r="AF733" i="1"/>
  <c r="AF734" i="1"/>
  <c r="AF737" i="1"/>
  <c r="AF736" i="1"/>
  <c r="AF738" i="1"/>
  <c r="AF741" i="1"/>
  <c r="AF740" i="1"/>
  <c r="AF742" i="1"/>
  <c r="AF745" i="1"/>
  <c r="AF744" i="1"/>
  <c r="AF746" i="1"/>
  <c r="AF749" i="1"/>
  <c r="AF748" i="1"/>
  <c r="AF750" i="1"/>
  <c r="AF753" i="1"/>
  <c r="AF751" i="1"/>
  <c r="AF752" i="1"/>
  <c r="AF754" i="1"/>
  <c r="AF757" i="1"/>
  <c r="AF756" i="1"/>
  <c r="AF758" i="1"/>
  <c r="AF761" i="1"/>
  <c r="AF760" i="1"/>
  <c r="AF762" i="1"/>
  <c r="AF765" i="1"/>
  <c r="AF764" i="1"/>
  <c r="AF766" i="1"/>
  <c r="AF769" i="1"/>
  <c r="AF767" i="1"/>
  <c r="AF768" i="1"/>
  <c r="AF770" i="1"/>
  <c r="AF773" i="1"/>
  <c r="AF772" i="1"/>
  <c r="AF774" i="1"/>
  <c r="AF777" i="1"/>
  <c r="AF776" i="1"/>
  <c r="AF778" i="1"/>
  <c r="AF781" i="1"/>
  <c r="AF779" i="1"/>
  <c r="AF780" i="1"/>
  <c r="AF782" i="1"/>
  <c r="AF785" i="1"/>
  <c r="AF784" i="1"/>
  <c r="AF786" i="1"/>
  <c r="AF789" i="1"/>
  <c r="AF788" i="1"/>
  <c r="AF790" i="1"/>
  <c r="AF793" i="1"/>
  <c r="AF791" i="1"/>
  <c r="AF792" i="1"/>
  <c r="AF794" i="1"/>
  <c r="AF797" i="1"/>
  <c r="AF795" i="1"/>
  <c r="AF796" i="1"/>
  <c r="AF798" i="1"/>
  <c r="AF801" i="1"/>
  <c r="AF800" i="1"/>
  <c r="AF802" i="1"/>
  <c r="AF805" i="1"/>
  <c r="AF803" i="1"/>
  <c r="AF804" i="1"/>
  <c r="AF806" i="1"/>
  <c r="AF809" i="1"/>
  <c r="AF808" i="1"/>
  <c r="AF810" i="1"/>
  <c r="AF813" i="1"/>
  <c r="AF811" i="1"/>
  <c r="AF812" i="1"/>
  <c r="AF814" i="1"/>
  <c r="AF817" i="1"/>
  <c r="AF815" i="1"/>
  <c r="AF816" i="1"/>
  <c r="AF818" i="1"/>
  <c r="AF822" i="1"/>
  <c r="AF44" i="1"/>
  <c r="B80" i="4"/>
  <c r="AF616" i="1"/>
  <c r="AF617" i="1"/>
  <c r="AF618" i="1"/>
  <c r="AF619" i="1"/>
  <c r="AF35" i="1"/>
  <c r="AF45" i="1"/>
  <c r="C80" i="4"/>
  <c r="AF46" i="1"/>
  <c r="D80" i="4"/>
  <c r="AF37" i="1"/>
  <c r="AF47" i="1"/>
  <c r="E80" i="4"/>
  <c r="AF656" i="1"/>
  <c r="AF49" i="1"/>
  <c r="G80" i="4"/>
  <c r="AF235" i="1"/>
  <c r="AF213" i="1"/>
  <c r="H80" i="4"/>
  <c r="AF59" i="1"/>
  <c r="I80" i="4"/>
  <c r="J80" i="4"/>
  <c r="K80" i="4"/>
  <c r="L80" i="4"/>
  <c r="M80" i="4"/>
  <c r="BK80" i="4"/>
  <c r="BM80" i="4"/>
  <c r="BO80" i="4"/>
  <c r="BP80" i="4"/>
  <c r="BR80" i="4"/>
  <c r="BS80" i="4"/>
  <c r="BW80" i="4"/>
  <c r="BX80" i="4"/>
  <c r="BY80" i="4"/>
  <c r="CA80" i="4"/>
  <c r="CB80" i="4"/>
  <c r="CD80" i="4"/>
  <c r="CG80" i="4"/>
  <c r="CJ80" i="4"/>
  <c r="BW83" i="4"/>
  <c r="CH83" i="4"/>
  <c r="CK83" i="4"/>
  <c r="CT83" i="4"/>
  <c r="BL84" i="4"/>
  <c r="BM84" i="4"/>
  <c r="BN84" i="4"/>
  <c r="BO84" i="4"/>
  <c r="BR84" i="4"/>
  <c r="CH84" i="4"/>
  <c r="CK84" i="4"/>
  <c r="CT84" i="4"/>
  <c r="BO85" i="4"/>
  <c r="BR85" i="4"/>
  <c r="CD85" i="4"/>
  <c r="BW85" i="4"/>
  <c r="CH85" i="4"/>
  <c r="CK85" i="4"/>
  <c r="CT85" i="4"/>
  <c r="BE86" i="4"/>
  <c r="BL86" i="4"/>
  <c r="BM86" i="4"/>
  <c r="CT86" i="4"/>
  <c r="BN86" i="4"/>
  <c r="BO86" i="4"/>
  <c r="BR86" i="4"/>
  <c r="CH86" i="4"/>
  <c r="CK86" i="4"/>
  <c r="BE87" i="4"/>
  <c r="BL87" i="4"/>
  <c r="BO87" i="4"/>
  <c r="BR87" i="4"/>
  <c r="BV87" i="4"/>
  <c r="CD87" i="4"/>
  <c r="BW87" i="4"/>
  <c r="CH87" i="4"/>
  <c r="CK87" i="4"/>
  <c r="AM91" i="4"/>
  <c r="C3" i="1"/>
  <c r="D3" i="1"/>
  <c r="E3" i="1"/>
  <c r="F3" i="1"/>
  <c r="G3" i="1"/>
  <c r="H3" i="1"/>
  <c r="I3" i="1"/>
  <c r="J3" i="1"/>
  <c r="K3" i="1"/>
  <c r="L3" i="1"/>
  <c r="M3" i="1"/>
  <c r="N3" i="1"/>
  <c r="O3" i="1"/>
  <c r="P3" i="1"/>
  <c r="Q3" i="1"/>
  <c r="R3" i="1"/>
  <c r="S3" i="1"/>
  <c r="T3" i="1"/>
  <c r="U3" i="1"/>
  <c r="V3" i="1"/>
  <c r="W3" i="1"/>
  <c r="X3" i="1"/>
  <c r="Y3" i="1"/>
  <c r="Z3" i="1"/>
  <c r="AA3" i="1"/>
  <c r="AB3" i="1"/>
  <c r="AC3" i="1"/>
  <c r="AD3" i="1"/>
  <c r="AE3" i="1"/>
  <c r="AF3" i="1"/>
  <c r="C4" i="1"/>
  <c r="D4" i="1"/>
  <c r="E4" i="1"/>
  <c r="F4" i="1"/>
  <c r="G4" i="1"/>
  <c r="H4" i="1"/>
  <c r="I4" i="1"/>
  <c r="J4" i="1"/>
  <c r="K4" i="1"/>
  <c r="L4" i="1"/>
  <c r="M4" i="1"/>
  <c r="N4" i="1"/>
  <c r="O4" i="1"/>
  <c r="P4" i="1"/>
  <c r="Q4" i="1"/>
  <c r="R4" i="1"/>
  <c r="S4" i="1"/>
  <c r="T4" i="1"/>
  <c r="U4" i="1"/>
  <c r="V4" i="1"/>
  <c r="W4" i="1"/>
  <c r="X4" i="1"/>
  <c r="Y4" i="1"/>
  <c r="Z4" i="1"/>
  <c r="AA4" i="1"/>
  <c r="AB4" i="1"/>
  <c r="AC4" i="1"/>
  <c r="AD4" i="1"/>
  <c r="AE4" i="1"/>
  <c r="AF4" i="1"/>
  <c r="C5" i="1"/>
  <c r="D5" i="1"/>
  <c r="E5" i="1"/>
  <c r="F5" i="1"/>
  <c r="G5" i="1"/>
  <c r="H5" i="1"/>
  <c r="I5" i="1"/>
  <c r="J5" i="1"/>
  <c r="K5" i="1"/>
  <c r="L5" i="1"/>
  <c r="M5" i="1"/>
  <c r="N5" i="1"/>
  <c r="O5" i="1"/>
  <c r="P5" i="1"/>
  <c r="Q5" i="1"/>
  <c r="R5" i="1"/>
  <c r="S5" i="1"/>
  <c r="T5" i="1"/>
  <c r="U5" i="1"/>
  <c r="V5" i="1"/>
  <c r="W5" i="1"/>
  <c r="X5" i="1"/>
  <c r="Y5" i="1"/>
  <c r="Z5" i="1"/>
  <c r="AA5" i="1"/>
  <c r="AB5" i="1"/>
  <c r="AC5" i="1"/>
  <c r="AD5" i="1"/>
  <c r="AE5" i="1"/>
  <c r="AF5" i="1"/>
  <c r="C6" i="1"/>
  <c r="D6" i="1"/>
  <c r="E6" i="1"/>
  <c r="F6" i="1"/>
  <c r="G6" i="1"/>
  <c r="H6" i="1"/>
  <c r="I6" i="1"/>
  <c r="J6" i="1"/>
  <c r="K6" i="1"/>
  <c r="L6" i="1"/>
  <c r="M6" i="1"/>
  <c r="N6" i="1"/>
  <c r="O6" i="1"/>
  <c r="P6" i="1"/>
  <c r="Q6" i="1"/>
  <c r="R6" i="1"/>
  <c r="S6" i="1"/>
  <c r="T6" i="1"/>
  <c r="U6" i="1"/>
  <c r="V6" i="1"/>
  <c r="W6" i="1"/>
  <c r="X6" i="1"/>
  <c r="Y6" i="1"/>
  <c r="Z6" i="1"/>
  <c r="AA6" i="1"/>
  <c r="AB6" i="1"/>
  <c r="AC6" i="1"/>
  <c r="AD6" i="1"/>
  <c r="AE6" i="1"/>
  <c r="AF6" i="1"/>
  <c r="Q24" i="1"/>
  <c r="AA24" i="1"/>
  <c r="AB24" i="1"/>
  <c r="AC24" i="1"/>
  <c r="AD24" i="1"/>
  <c r="AE24" i="1"/>
  <c r="AF24" i="1"/>
  <c r="Q25" i="1"/>
  <c r="AA25" i="1"/>
  <c r="AB25" i="1"/>
  <c r="AC25" i="1"/>
  <c r="AD25" i="1"/>
  <c r="AE25" i="1"/>
  <c r="AF25" i="1"/>
  <c r="C52" i="1"/>
  <c r="D52" i="1"/>
  <c r="E52" i="1"/>
  <c r="F52" i="1"/>
  <c r="G52" i="1"/>
  <c r="H52" i="1"/>
  <c r="I52" i="1"/>
  <c r="J52" i="1"/>
  <c r="K52" i="1"/>
  <c r="L52" i="1"/>
  <c r="M52" i="1"/>
  <c r="N52" i="1"/>
  <c r="O52" i="1"/>
  <c r="P52" i="1"/>
  <c r="Q52" i="1"/>
  <c r="R52" i="1"/>
  <c r="S52" i="1"/>
  <c r="T52" i="1"/>
  <c r="U52" i="1"/>
  <c r="V52" i="1"/>
  <c r="W52" i="1"/>
  <c r="X52" i="1"/>
  <c r="Y52" i="1"/>
  <c r="Z52" i="1"/>
  <c r="AA52" i="1"/>
  <c r="AB52" i="1"/>
  <c r="AC52" i="1"/>
  <c r="AD52" i="1"/>
  <c r="AE52" i="1"/>
  <c r="AF52" i="1"/>
  <c r="C53" i="1"/>
  <c r="D53" i="1"/>
  <c r="E53" i="1"/>
  <c r="F53" i="1"/>
  <c r="G53" i="1"/>
  <c r="H53" i="1"/>
  <c r="I53" i="1"/>
  <c r="J53" i="1"/>
  <c r="K53" i="1"/>
  <c r="L53" i="1"/>
  <c r="M53" i="1"/>
  <c r="N53" i="1"/>
  <c r="O53" i="1"/>
  <c r="P53" i="1"/>
  <c r="Q53" i="1"/>
  <c r="R53" i="1"/>
  <c r="S53" i="1"/>
  <c r="T53" i="1"/>
  <c r="U53" i="1"/>
  <c r="V53" i="1"/>
  <c r="W53" i="1"/>
  <c r="X53" i="1"/>
  <c r="Y53" i="1"/>
  <c r="Z53" i="1"/>
  <c r="AA53" i="1"/>
  <c r="AB53" i="1"/>
  <c r="AC53" i="1"/>
  <c r="AD53" i="1"/>
  <c r="AE53" i="1"/>
  <c r="AF53" i="1"/>
  <c r="C54" i="1"/>
  <c r="D54" i="1"/>
  <c r="E54" i="1"/>
  <c r="F54" i="1"/>
  <c r="G54" i="1"/>
  <c r="H54" i="1"/>
  <c r="I54" i="1"/>
  <c r="J54" i="1"/>
  <c r="K54" i="1"/>
  <c r="L54" i="1"/>
  <c r="M54" i="1"/>
  <c r="N54" i="1"/>
  <c r="O54" i="1"/>
  <c r="P54" i="1"/>
  <c r="Q54" i="1"/>
  <c r="R54" i="1"/>
  <c r="S54" i="1"/>
  <c r="T54" i="1"/>
  <c r="U54" i="1"/>
  <c r="V54" i="1"/>
  <c r="W54" i="1"/>
  <c r="X54" i="1"/>
  <c r="Y54" i="1"/>
  <c r="Z54" i="1"/>
  <c r="AA54" i="1"/>
  <c r="AB54" i="1"/>
  <c r="AC54" i="1"/>
  <c r="AD54" i="1"/>
  <c r="AE54" i="1"/>
  <c r="AF54" i="1"/>
  <c r="C56" i="1"/>
  <c r="D56" i="1"/>
  <c r="E56" i="1"/>
  <c r="F56" i="1"/>
  <c r="G56" i="1"/>
  <c r="H56" i="1"/>
  <c r="I56" i="1"/>
  <c r="J56" i="1"/>
  <c r="K56" i="1"/>
  <c r="L56" i="1"/>
  <c r="M56" i="1"/>
  <c r="N56" i="1"/>
  <c r="O56" i="1"/>
  <c r="P56" i="1"/>
  <c r="Q56" i="1"/>
  <c r="R56" i="1"/>
  <c r="S56" i="1"/>
  <c r="T56" i="1"/>
  <c r="U56" i="1"/>
  <c r="V56" i="1"/>
  <c r="W56" i="1"/>
  <c r="X56" i="1"/>
  <c r="Y56" i="1"/>
  <c r="Z56" i="1"/>
  <c r="AA56" i="1"/>
  <c r="AB56" i="1"/>
  <c r="AC56" i="1"/>
  <c r="AD56" i="1"/>
  <c r="AE56" i="1"/>
  <c r="AF56" i="1"/>
  <c r="C57" i="1"/>
  <c r="D57" i="1"/>
  <c r="E57" i="1"/>
  <c r="F57" i="1"/>
  <c r="G57" i="1"/>
  <c r="H57" i="1"/>
  <c r="I57" i="1"/>
  <c r="J57" i="1"/>
  <c r="K57" i="1"/>
  <c r="L57" i="1"/>
  <c r="M57" i="1"/>
  <c r="N57" i="1"/>
  <c r="O57" i="1"/>
  <c r="P57" i="1"/>
  <c r="Q57" i="1"/>
  <c r="R57" i="1"/>
  <c r="S57" i="1"/>
  <c r="T57" i="1"/>
  <c r="U57" i="1"/>
  <c r="V57" i="1"/>
  <c r="W57" i="1"/>
  <c r="X57" i="1"/>
  <c r="Y57" i="1"/>
  <c r="Z57" i="1"/>
  <c r="AA57" i="1"/>
  <c r="AB57" i="1"/>
  <c r="AC57" i="1"/>
  <c r="AD57" i="1"/>
  <c r="AE57" i="1"/>
  <c r="AF57" i="1"/>
  <c r="C58" i="1"/>
  <c r="D58" i="1"/>
  <c r="E58" i="1"/>
  <c r="F58" i="1"/>
  <c r="G58" i="1"/>
  <c r="H58" i="1"/>
  <c r="I58" i="1"/>
  <c r="J58" i="1"/>
  <c r="K58" i="1"/>
  <c r="L58" i="1"/>
  <c r="M58" i="1"/>
  <c r="N58" i="1"/>
  <c r="O58" i="1"/>
  <c r="P58" i="1"/>
  <c r="Q58" i="1"/>
  <c r="R58" i="1"/>
  <c r="S58" i="1"/>
  <c r="T58" i="1"/>
  <c r="U58" i="1"/>
  <c r="V58" i="1"/>
  <c r="W58" i="1"/>
  <c r="X58" i="1"/>
  <c r="Y58" i="1"/>
  <c r="Z58" i="1"/>
  <c r="AA58" i="1"/>
  <c r="AB58" i="1"/>
  <c r="AC58" i="1"/>
  <c r="AD58" i="1"/>
  <c r="AE58" i="1"/>
  <c r="AF58" i="1"/>
  <c r="C60" i="1"/>
  <c r="D60" i="1"/>
  <c r="E60" i="1"/>
  <c r="F60" i="1"/>
  <c r="G60" i="1"/>
  <c r="H60" i="1"/>
  <c r="I60" i="1"/>
  <c r="J60" i="1"/>
  <c r="K60" i="1"/>
  <c r="L60" i="1"/>
  <c r="M60" i="1"/>
  <c r="N60" i="1"/>
  <c r="O60" i="1"/>
  <c r="P60" i="1"/>
  <c r="Q60" i="1"/>
  <c r="R60" i="1"/>
  <c r="S60" i="1"/>
  <c r="T60" i="1"/>
  <c r="U60" i="1"/>
  <c r="V60" i="1"/>
  <c r="W60" i="1"/>
  <c r="X60" i="1"/>
  <c r="Y60" i="1"/>
  <c r="Z60" i="1"/>
  <c r="AA60" i="1"/>
  <c r="AB60" i="1"/>
  <c r="AC60" i="1"/>
  <c r="AD60" i="1"/>
  <c r="AE60" i="1"/>
  <c r="AF60" i="1"/>
  <c r="C61" i="1"/>
  <c r="D61" i="1"/>
  <c r="E61" i="1"/>
  <c r="F61" i="1"/>
  <c r="G61" i="1"/>
  <c r="H61" i="1"/>
  <c r="I61" i="1"/>
  <c r="J61" i="1"/>
  <c r="K61" i="1"/>
  <c r="L61" i="1"/>
  <c r="M61" i="1"/>
  <c r="N61" i="1"/>
  <c r="O61" i="1"/>
  <c r="P61" i="1"/>
  <c r="Q61" i="1"/>
  <c r="R61" i="1"/>
  <c r="S61" i="1"/>
  <c r="T61" i="1"/>
  <c r="U61" i="1"/>
  <c r="V61" i="1"/>
  <c r="W61" i="1"/>
  <c r="X61" i="1"/>
  <c r="Y61" i="1"/>
  <c r="Z61" i="1"/>
  <c r="AA61" i="1"/>
  <c r="AB61" i="1"/>
  <c r="AC61" i="1"/>
  <c r="AD61" i="1"/>
  <c r="AE61" i="1"/>
  <c r="AF61" i="1"/>
  <c r="C62" i="1"/>
  <c r="D62" i="1"/>
  <c r="E62" i="1"/>
  <c r="F62" i="1"/>
  <c r="G62" i="1"/>
  <c r="H62" i="1"/>
  <c r="I62" i="1"/>
  <c r="J62" i="1"/>
  <c r="K62" i="1"/>
  <c r="L62" i="1"/>
  <c r="M62" i="1"/>
  <c r="N62" i="1"/>
  <c r="O62" i="1"/>
  <c r="P62" i="1"/>
  <c r="Q62" i="1"/>
  <c r="R62" i="1"/>
  <c r="S62" i="1"/>
  <c r="T62" i="1"/>
  <c r="U62" i="1"/>
  <c r="V62" i="1"/>
  <c r="W62" i="1"/>
  <c r="X62" i="1"/>
  <c r="Y62" i="1"/>
  <c r="Z62" i="1"/>
  <c r="AA62" i="1"/>
  <c r="AB62" i="1"/>
  <c r="AC62" i="1"/>
  <c r="AD62" i="1"/>
  <c r="AE62" i="1"/>
  <c r="AF62" i="1"/>
  <c r="C63" i="1"/>
  <c r="D63" i="1"/>
  <c r="E63" i="1"/>
  <c r="F63" i="1"/>
  <c r="G63" i="1"/>
  <c r="H63" i="1"/>
  <c r="I63" i="1"/>
  <c r="J63" i="1"/>
  <c r="K63" i="1"/>
  <c r="L63" i="1"/>
  <c r="M63" i="1"/>
  <c r="N63" i="1"/>
  <c r="O63" i="1"/>
  <c r="P63" i="1"/>
  <c r="Q63" i="1"/>
  <c r="R63" i="1"/>
  <c r="S63" i="1"/>
  <c r="T63" i="1"/>
  <c r="U63" i="1"/>
  <c r="V63" i="1"/>
  <c r="W63" i="1"/>
  <c r="X63" i="1"/>
  <c r="Y63" i="1"/>
  <c r="Z63" i="1"/>
  <c r="AA63" i="1"/>
  <c r="AB63" i="1"/>
  <c r="AC63" i="1"/>
  <c r="AD63" i="1"/>
  <c r="AE63" i="1"/>
  <c r="AF63" i="1"/>
  <c r="C64" i="1"/>
  <c r="D64" i="1"/>
  <c r="E64" i="1"/>
  <c r="F64" i="1"/>
  <c r="G64" i="1"/>
  <c r="H64" i="1"/>
  <c r="I64" i="1"/>
  <c r="J64" i="1"/>
  <c r="K64" i="1"/>
  <c r="L64" i="1"/>
  <c r="M64" i="1"/>
  <c r="N64" i="1"/>
  <c r="O64" i="1"/>
  <c r="P64" i="1"/>
  <c r="Q64" i="1"/>
  <c r="R64" i="1"/>
  <c r="S64" i="1"/>
  <c r="T64" i="1"/>
  <c r="U64" i="1"/>
  <c r="V64" i="1"/>
  <c r="W64" i="1"/>
  <c r="X64" i="1"/>
  <c r="Y64" i="1"/>
  <c r="Z64" i="1"/>
  <c r="AA64" i="1"/>
  <c r="AB64" i="1"/>
  <c r="AC64" i="1"/>
  <c r="AD64" i="1"/>
  <c r="AE64" i="1"/>
  <c r="AF64" i="1"/>
  <c r="C65" i="1"/>
  <c r="D65" i="1"/>
  <c r="E65" i="1"/>
  <c r="F65" i="1"/>
  <c r="G65" i="1"/>
  <c r="H65" i="1"/>
  <c r="I65" i="1"/>
  <c r="J65" i="1"/>
  <c r="K65" i="1"/>
  <c r="L65" i="1"/>
  <c r="M65" i="1"/>
  <c r="N65" i="1"/>
  <c r="O65" i="1"/>
  <c r="P65" i="1"/>
  <c r="Q65" i="1"/>
  <c r="R65" i="1"/>
  <c r="S65" i="1"/>
  <c r="T65" i="1"/>
  <c r="U65" i="1"/>
  <c r="V65" i="1"/>
  <c r="W65" i="1"/>
  <c r="X65" i="1"/>
  <c r="Y65" i="1"/>
  <c r="Z65" i="1"/>
  <c r="AA65" i="1"/>
  <c r="AB65" i="1"/>
  <c r="AC65" i="1"/>
  <c r="AD65" i="1"/>
  <c r="AE65" i="1"/>
  <c r="AF65" i="1"/>
  <c r="C66" i="1"/>
  <c r="D66" i="1"/>
  <c r="E66" i="1"/>
  <c r="F66" i="1"/>
  <c r="G66" i="1"/>
  <c r="H66" i="1"/>
  <c r="I66" i="1"/>
  <c r="J66" i="1"/>
  <c r="K66" i="1"/>
  <c r="L66" i="1"/>
  <c r="M66" i="1"/>
  <c r="N66" i="1"/>
  <c r="O66" i="1"/>
  <c r="P66" i="1"/>
  <c r="Q66" i="1"/>
  <c r="R66" i="1"/>
  <c r="S66" i="1"/>
  <c r="T66" i="1"/>
  <c r="U66" i="1"/>
  <c r="V66" i="1"/>
  <c r="W66" i="1"/>
  <c r="X66" i="1"/>
  <c r="Y66" i="1"/>
  <c r="Z66" i="1"/>
  <c r="AA66" i="1"/>
  <c r="AB66" i="1"/>
  <c r="AC66" i="1"/>
  <c r="AD66" i="1"/>
  <c r="AE66" i="1"/>
  <c r="AF66" i="1"/>
  <c r="C73" i="1"/>
  <c r="D73" i="1"/>
  <c r="E73" i="1"/>
  <c r="F73" i="1"/>
  <c r="G73" i="1"/>
  <c r="H73" i="1"/>
  <c r="I73" i="1"/>
  <c r="J73" i="1"/>
  <c r="K73" i="1"/>
  <c r="L73" i="1"/>
  <c r="M73" i="1"/>
  <c r="N73" i="1"/>
  <c r="O73" i="1"/>
  <c r="P73" i="1"/>
  <c r="Q73" i="1"/>
  <c r="R73" i="1"/>
  <c r="S73" i="1"/>
  <c r="T73" i="1"/>
  <c r="U73" i="1"/>
  <c r="V73" i="1"/>
  <c r="W73" i="1"/>
  <c r="X73" i="1"/>
  <c r="Y73" i="1"/>
  <c r="Z73" i="1"/>
  <c r="AA73" i="1"/>
  <c r="AB73" i="1"/>
  <c r="AC73" i="1"/>
  <c r="AD73" i="1"/>
  <c r="AE73" i="1"/>
  <c r="AF73" i="1"/>
  <c r="C75" i="1"/>
  <c r="D75" i="1"/>
  <c r="E75" i="1"/>
  <c r="F75" i="1"/>
  <c r="G75" i="1"/>
  <c r="H75" i="1"/>
  <c r="I75" i="1"/>
  <c r="J75" i="1"/>
  <c r="K75" i="1"/>
  <c r="L75" i="1"/>
  <c r="M75" i="1"/>
  <c r="N75" i="1"/>
  <c r="O75" i="1"/>
  <c r="P75" i="1"/>
  <c r="Q75" i="1"/>
  <c r="R75" i="1"/>
  <c r="S75" i="1"/>
  <c r="T75" i="1"/>
  <c r="U75" i="1"/>
  <c r="V75" i="1"/>
  <c r="W75" i="1"/>
  <c r="X75" i="1"/>
  <c r="Y75" i="1"/>
  <c r="Z75" i="1"/>
  <c r="AA75" i="1"/>
  <c r="AB75" i="1"/>
  <c r="AC75" i="1"/>
  <c r="AD75" i="1"/>
  <c r="AE75" i="1"/>
  <c r="AF75" i="1"/>
  <c r="C76" i="1"/>
  <c r="D76" i="1"/>
  <c r="E76" i="1"/>
  <c r="F76" i="1"/>
  <c r="G76" i="1"/>
  <c r="H76" i="1"/>
  <c r="I76" i="1"/>
  <c r="J76" i="1"/>
  <c r="K76" i="1"/>
  <c r="L76" i="1"/>
  <c r="M76" i="1"/>
  <c r="N76" i="1"/>
  <c r="O76" i="1"/>
  <c r="P76" i="1"/>
  <c r="Q76" i="1"/>
  <c r="R76" i="1"/>
  <c r="S76" i="1"/>
  <c r="T76" i="1"/>
  <c r="U76" i="1"/>
  <c r="V76" i="1"/>
  <c r="W76" i="1"/>
  <c r="X76" i="1"/>
  <c r="Y76" i="1"/>
  <c r="Z76" i="1"/>
  <c r="AA76" i="1"/>
  <c r="AB76" i="1"/>
  <c r="AC76" i="1"/>
  <c r="AD76" i="1"/>
  <c r="AE76" i="1"/>
  <c r="AF76" i="1"/>
  <c r="C79" i="1"/>
  <c r="D79" i="1"/>
  <c r="E79" i="1"/>
  <c r="F79" i="1"/>
  <c r="G79" i="1"/>
  <c r="H79" i="1"/>
  <c r="I79" i="1"/>
  <c r="J79" i="1"/>
  <c r="K79" i="1"/>
  <c r="L79" i="1"/>
  <c r="M79" i="1"/>
  <c r="N79" i="1"/>
  <c r="O79" i="1"/>
  <c r="P79" i="1"/>
  <c r="Q79" i="1"/>
  <c r="R79" i="1"/>
  <c r="S79" i="1"/>
  <c r="T79" i="1"/>
  <c r="U79" i="1"/>
  <c r="V79" i="1"/>
  <c r="W79" i="1"/>
  <c r="X79" i="1"/>
  <c r="Y79" i="1"/>
  <c r="Z79" i="1"/>
  <c r="AA79" i="1"/>
  <c r="AB79" i="1"/>
  <c r="AC79" i="1"/>
  <c r="AD79" i="1"/>
  <c r="AE79" i="1"/>
  <c r="AF79" i="1"/>
  <c r="C88" i="1"/>
  <c r="D88" i="1"/>
  <c r="E88" i="1"/>
  <c r="F88" i="1"/>
  <c r="G88" i="1"/>
  <c r="H88" i="1"/>
  <c r="I88" i="1"/>
  <c r="J88" i="1"/>
  <c r="K88" i="1"/>
  <c r="L88" i="1"/>
  <c r="M88" i="1"/>
  <c r="N88" i="1"/>
  <c r="O88" i="1"/>
  <c r="P88" i="1"/>
  <c r="Q88" i="1"/>
  <c r="R88" i="1"/>
  <c r="S88" i="1"/>
  <c r="T88" i="1"/>
  <c r="U88" i="1"/>
  <c r="V88" i="1"/>
  <c r="W88" i="1"/>
  <c r="X88" i="1"/>
  <c r="Y88" i="1"/>
  <c r="Z88" i="1"/>
  <c r="AA88" i="1"/>
  <c r="AB88" i="1"/>
  <c r="AC88" i="1"/>
  <c r="AD88" i="1"/>
  <c r="AE88" i="1"/>
  <c r="AF88" i="1"/>
  <c r="C89" i="1"/>
  <c r="D89" i="1"/>
  <c r="E89" i="1"/>
  <c r="F89" i="1"/>
  <c r="G89" i="1"/>
  <c r="H89" i="1"/>
  <c r="I89" i="1"/>
  <c r="J89" i="1"/>
  <c r="K89" i="1"/>
  <c r="L89" i="1"/>
  <c r="M89" i="1"/>
  <c r="N89" i="1"/>
  <c r="O89" i="1"/>
  <c r="P89" i="1"/>
  <c r="Q89" i="1"/>
  <c r="R89" i="1"/>
  <c r="S89" i="1"/>
  <c r="T89" i="1"/>
  <c r="U89" i="1"/>
  <c r="V89" i="1"/>
  <c r="W89" i="1"/>
  <c r="X89" i="1"/>
  <c r="Y89" i="1"/>
  <c r="Z89" i="1"/>
  <c r="AA89" i="1"/>
  <c r="AB89" i="1"/>
  <c r="AC89" i="1"/>
  <c r="AD89" i="1"/>
  <c r="AE89" i="1"/>
  <c r="AF89" i="1"/>
  <c r="C91" i="1"/>
  <c r="D91" i="1"/>
  <c r="E91" i="1"/>
  <c r="F91" i="1"/>
  <c r="G91" i="1"/>
  <c r="H91" i="1"/>
  <c r="I91" i="1"/>
  <c r="J91" i="1"/>
  <c r="K91" i="1"/>
  <c r="L91" i="1"/>
  <c r="M91" i="1"/>
  <c r="N91" i="1"/>
  <c r="O91" i="1"/>
  <c r="P91" i="1"/>
  <c r="Q91" i="1"/>
  <c r="R91" i="1"/>
  <c r="S91" i="1"/>
  <c r="T91" i="1"/>
  <c r="U91" i="1"/>
  <c r="V91" i="1"/>
  <c r="W91" i="1"/>
  <c r="X91" i="1"/>
  <c r="Y91" i="1"/>
  <c r="Z91" i="1"/>
  <c r="AA91" i="1"/>
  <c r="AB91" i="1"/>
  <c r="AC91" i="1"/>
  <c r="AD91" i="1"/>
  <c r="AE91" i="1"/>
  <c r="AF91" i="1"/>
  <c r="C92" i="1"/>
  <c r="D92" i="1"/>
  <c r="E92" i="1"/>
  <c r="F92" i="1"/>
  <c r="G92" i="1"/>
  <c r="H92" i="1"/>
  <c r="I92" i="1"/>
  <c r="J92" i="1"/>
  <c r="K92" i="1"/>
  <c r="L92" i="1"/>
  <c r="M92" i="1"/>
  <c r="N92" i="1"/>
  <c r="O92" i="1"/>
  <c r="P92" i="1"/>
  <c r="Q92" i="1"/>
  <c r="R92" i="1"/>
  <c r="S92" i="1"/>
  <c r="T92" i="1"/>
  <c r="U92" i="1"/>
  <c r="V92" i="1"/>
  <c r="W92" i="1"/>
  <c r="X92" i="1"/>
  <c r="Y92" i="1"/>
  <c r="Z92" i="1"/>
  <c r="AA92" i="1"/>
  <c r="AB92" i="1"/>
  <c r="AC92" i="1"/>
  <c r="AD92" i="1"/>
  <c r="AE92" i="1"/>
  <c r="AF92" i="1"/>
  <c r="C95" i="1"/>
  <c r="D95" i="1"/>
  <c r="E95" i="1"/>
  <c r="F95" i="1"/>
  <c r="G95" i="1"/>
  <c r="H95" i="1"/>
  <c r="I95" i="1"/>
  <c r="J95" i="1"/>
  <c r="K95" i="1"/>
  <c r="L95" i="1"/>
  <c r="M95" i="1"/>
  <c r="N95" i="1"/>
  <c r="O95" i="1"/>
  <c r="P95" i="1"/>
  <c r="Q95" i="1"/>
  <c r="R95" i="1"/>
  <c r="S95" i="1"/>
  <c r="T95" i="1"/>
  <c r="U95" i="1"/>
  <c r="C126" i="1"/>
  <c r="C96" i="1"/>
  <c r="D126" i="1"/>
  <c r="D96" i="1"/>
  <c r="E126" i="1"/>
  <c r="E96" i="1"/>
  <c r="F126" i="1"/>
  <c r="F96" i="1"/>
  <c r="G126" i="1"/>
  <c r="G96" i="1"/>
  <c r="H126" i="1"/>
  <c r="H96" i="1"/>
  <c r="I126" i="1"/>
  <c r="I96" i="1"/>
  <c r="J126" i="1"/>
  <c r="J96" i="1"/>
  <c r="K126" i="1"/>
  <c r="K96" i="1"/>
  <c r="L126" i="1"/>
  <c r="L96" i="1"/>
  <c r="M126" i="1"/>
  <c r="M96" i="1"/>
  <c r="N126" i="1"/>
  <c r="N96" i="1"/>
  <c r="O126" i="1"/>
  <c r="O96" i="1"/>
  <c r="P126" i="1"/>
  <c r="P96" i="1"/>
  <c r="Q126" i="1"/>
  <c r="Q96" i="1"/>
  <c r="R126" i="1"/>
  <c r="R96" i="1"/>
  <c r="S126" i="1"/>
  <c r="S96" i="1"/>
  <c r="T126" i="1"/>
  <c r="T96" i="1"/>
  <c r="U126" i="1"/>
  <c r="U96" i="1"/>
  <c r="C120" i="1"/>
  <c r="C108" i="1"/>
  <c r="C99" i="1"/>
  <c r="D120" i="1"/>
  <c r="D108" i="1"/>
  <c r="D99" i="1"/>
  <c r="E120" i="1"/>
  <c r="E108" i="1"/>
  <c r="E99" i="1"/>
  <c r="F120" i="1"/>
  <c r="F108" i="1"/>
  <c r="F99" i="1"/>
  <c r="G120" i="1"/>
  <c r="G108" i="1"/>
  <c r="G99" i="1"/>
  <c r="H120" i="1"/>
  <c r="H108" i="1"/>
  <c r="H99" i="1"/>
  <c r="I120" i="1"/>
  <c r="I108" i="1"/>
  <c r="I99" i="1"/>
  <c r="J120" i="1"/>
  <c r="J108" i="1"/>
  <c r="J99" i="1"/>
  <c r="K120" i="1"/>
  <c r="K108" i="1"/>
  <c r="K99" i="1"/>
  <c r="L120" i="1"/>
  <c r="L108" i="1"/>
  <c r="L99" i="1"/>
  <c r="M120" i="1"/>
  <c r="M108" i="1"/>
  <c r="M99" i="1"/>
  <c r="N120" i="1"/>
  <c r="N108" i="1"/>
  <c r="N99" i="1"/>
  <c r="O120" i="1"/>
  <c r="O108" i="1"/>
  <c r="O99" i="1"/>
  <c r="P120" i="1"/>
  <c r="P108" i="1"/>
  <c r="P99" i="1"/>
  <c r="Q120" i="1"/>
  <c r="Q108" i="1"/>
  <c r="Q99" i="1"/>
  <c r="R120" i="1"/>
  <c r="R108" i="1"/>
  <c r="R99" i="1"/>
  <c r="S120" i="1"/>
  <c r="S108" i="1"/>
  <c r="S99" i="1"/>
  <c r="T120" i="1"/>
  <c r="T108" i="1"/>
  <c r="T99" i="1"/>
  <c r="U120" i="1"/>
  <c r="U108" i="1"/>
  <c r="U99" i="1"/>
  <c r="V99" i="1"/>
  <c r="C101" i="1"/>
  <c r="D101" i="1"/>
  <c r="E101" i="1"/>
  <c r="F101" i="1"/>
  <c r="G101" i="1"/>
  <c r="H101" i="1"/>
  <c r="I101" i="1"/>
  <c r="J101" i="1"/>
  <c r="K101" i="1"/>
  <c r="L101" i="1"/>
  <c r="M101" i="1"/>
  <c r="N101" i="1"/>
  <c r="O101" i="1"/>
  <c r="P101" i="1"/>
  <c r="Q101" i="1"/>
  <c r="R101" i="1"/>
  <c r="S101" i="1"/>
  <c r="T101" i="1"/>
  <c r="U101" i="1"/>
  <c r="V101" i="1"/>
  <c r="C404" i="1"/>
  <c r="C405" i="1"/>
  <c r="C131" i="1"/>
  <c r="C132" i="1"/>
  <c r="C102" i="1"/>
  <c r="D404" i="1"/>
  <c r="D405" i="1"/>
  <c r="D131" i="1"/>
  <c r="D132" i="1"/>
  <c r="D102" i="1"/>
  <c r="E404" i="1"/>
  <c r="E405" i="1"/>
  <c r="E131" i="1"/>
  <c r="E132" i="1"/>
  <c r="E102" i="1"/>
  <c r="F404" i="1"/>
  <c r="F405" i="1"/>
  <c r="F131" i="1"/>
  <c r="F132" i="1"/>
  <c r="F102" i="1"/>
  <c r="G404" i="1"/>
  <c r="G405" i="1"/>
  <c r="G131" i="1"/>
  <c r="G132" i="1"/>
  <c r="G102" i="1"/>
  <c r="H404" i="1"/>
  <c r="H405" i="1"/>
  <c r="H131" i="1"/>
  <c r="H132" i="1"/>
  <c r="H102" i="1"/>
  <c r="I404" i="1"/>
  <c r="I405" i="1"/>
  <c r="I131" i="1"/>
  <c r="I132" i="1"/>
  <c r="I102" i="1"/>
  <c r="J404" i="1"/>
  <c r="J405" i="1"/>
  <c r="J131" i="1"/>
  <c r="J132" i="1"/>
  <c r="J102" i="1"/>
  <c r="K404" i="1"/>
  <c r="K405" i="1"/>
  <c r="K131" i="1"/>
  <c r="K132" i="1"/>
  <c r="K102" i="1"/>
  <c r="L404" i="1"/>
  <c r="L405" i="1"/>
  <c r="L131" i="1"/>
  <c r="L132" i="1"/>
  <c r="L102" i="1"/>
  <c r="M404" i="1"/>
  <c r="M405" i="1"/>
  <c r="M131" i="1"/>
  <c r="M132" i="1"/>
  <c r="M102" i="1"/>
  <c r="N404" i="1"/>
  <c r="N405" i="1"/>
  <c r="N131" i="1"/>
  <c r="N132" i="1"/>
  <c r="N102" i="1"/>
  <c r="O404" i="1"/>
  <c r="O405" i="1"/>
  <c r="O131" i="1"/>
  <c r="O132" i="1"/>
  <c r="O102" i="1"/>
  <c r="P404" i="1"/>
  <c r="P405" i="1"/>
  <c r="P131" i="1"/>
  <c r="P132" i="1"/>
  <c r="P102" i="1"/>
  <c r="Q404" i="1"/>
  <c r="Q405" i="1"/>
  <c r="Q131" i="1"/>
  <c r="Q132" i="1"/>
  <c r="Q102" i="1"/>
  <c r="R404" i="1"/>
  <c r="R405" i="1"/>
  <c r="R131" i="1"/>
  <c r="R132" i="1"/>
  <c r="R102" i="1"/>
  <c r="S404" i="1"/>
  <c r="S405" i="1"/>
  <c r="S131" i="1"/>
  <c r="S132" i="1"/>
  <c r="S102" i="1"/>
  <c r="T404" i="1"/>
  <c r="T405" i="1"/>
  <c r="T131" i="1"/>
  <c r="T132" i="1"/>
  <c r="T102" i="1"/>
  <c r="U404" i="1"/>
  <c r="U405" i="1"/>
  <c r="U131" i="1"/>
  <c r="U132" i="1"/>
  <c r="U102" i="1"/>
  <c r="V102" i="1"/>
  <c r="C123" i="1"/>
  <c r="C105" i="1"/>
  <c r="D123" i="1"/>
  <c r="D105" i="1"/>
  <c r="E123" i="1"/>
  <c r="E105" i="1"/>
  <c r="F123" i="1"/>
  <c r="F105" i="1"/>
  <c r="G123" i="1"/>
  <c r="G105" i="1"/>
  <c r="H123" i="1"/>
  <c r="H105" i="1"/>
  <c r="I123" i="1"/>
  <c r="I105" i="1"/>
  <c r="J123" i="1"/>
  <c r="J105" i="1"/>
  <c r="K123" i="1"/>
  <c r="K105" i="1"/>
  <c r="L123" i="1"/>
  <c r="L105" i="1"/>
  <c r="M123" i="1"/>
  <c r="M105" i="1"/>
  <c r="N123" i="1"/>
  <c r="N105" i="1"/>
  <c r="O123" i="1"/>
  <c r="O105" i="1"/>
  <c r="P123" i="1"/>
  <c r="P105" i="1"/>
  <c r="Q123" i="1"/>
  <c r="Q105" i="1"/>
  <c r="R123" i="1"/>
  <c r="R105" i="1"/>
  <c r="S123" i="1"/>
  <c r="S105" i="1"/>
  <c r="T123" i="1"/>
  <c r="T105" i="1"/>
  <c r="U123" i="1"/>
  <c r="U105" i="1"/>
  <c r="V105" i="1"/>
  <c r="C107" i="1"/>
  <c r="D107" i="1"/>
  <c r="E107" i="1"/>
  <c r="F107" i="1"/>
  <c r="G107" i="1"/>
  <c r="H107" i="1"/>
  <c r="I107" i="1"/>
  <c r="J107" i="1"/>
  <c r="K107" i="1"/>
  <c r="L107" i="1"/>
  <c r="M107" i="1"/>
  <c r="N107" i="1"/>
  <c r="O107" i="1"/>
  <c r="P107" i="1"/>
  <c r="Q107" i="1"/>
  <c r="R107" i="1"/>
  <c r="S107" i="1"/>
  <c r="T107" i="1"/>
  <c r="U107" i="1"/>
  <c r="C109" i="1"/>
  <c r="D109" i="1"/>
  <c r="E109" i="1"/>
  <c r="F109" i="1"/>
  <c r="G109" i="1"/>
  <c r="H109" i="1"/>
  <c r="I109" i="1"/>
  <c r="J109" i="1"/>
  <c r="K109" i="1"/>
  <c r="L109" i="1"/>
  <c r="M109" i="1"/>
  <c r="N109" i="1"/>
  <c r="O109" i="1"/>
  <c r="P109" i="1"/>
  <c r="Q109" i="1"/>
  <c r="R109" i="1"/>
  <c r="S109" i="1"/>
  <c r="T109" i="1"/>
  <c r="U109" i="1"/>
  <c r="C112" i="1"/>
  <c r="D112" i="1"/>
  <c r="E112" i="1"/>
  <c r="F112" i="1"/>
  <c r="G112" i="1"/>
  <c r="H112" i="1"/>
  <c r="I112" i="1"/>
  <c r="J112" i="1"/>
  <c r="K112" i="1"/>
  <c r="L112" i="1"/>
  <c r="M112" i="1"/>
  <c r="N112" i="1"/>
  <c r="O112" i="1"/>
  <c r="P112" i="1"/>
  <c r="Q112" i="1"/>
  <c r="R112" i="1"/>
  <c r="S112" i="1"/>
  <c r="T112" i="1"/>
  <c r="U112" i="1"/>
  <c r="C113" i="1"/>
  <c r="D113" i="1"/>
  <c r="E113" i="1"/>
  <c r="F113" i="1"/>
  <c r="G113" i="1"/>
  <c r="H113" i="1"/>
  <c r="I113" i="1"/>
  <c r="J113" i="1"/>
  <c r="K113" i="1"/>
  <c r="L113" i="1"/>
  <c r="M113" i="1"/>
  <c r="N113" i="1"/>
  <c r="O113" i="1"/>
  <c r="P113" i="1"/>
  <c r="Q113" i="1"/>
  <c r="R113" i="1"/>
  <c r="S113" i="1"/>
  <c r="T113" i="1"/>
  <c r="U113" i="1"/>
  <c r="C114" i="1"/>
  <c r="D114" i="1"/>
  <c r="E114" i="1"/>
  <c r="F114" i="1"/>
  <c r="G114" i="1"/>
  <c r="H114" i="1"/>
  <c r="I114" i="1"/>
  <c r="J114" i="1"/>
  <c r="K114" i="1"/>
  <c r="L114" i="1"/>
  <c r="M114" i="1"/>
  <c r="N114" i="1"/>
  <c r="O114" i="1"/>
  <c r="P114" i="1"/>
  <c r="Q114" i="1"/>
  <c r="R114" i="1"/>
  <c r="S114" i="1"/>
  <c r="T114" i="1"/>
  <c r="U114" i="1"/>
  <c r="C115" i="1"/>
  <c r="D115" i="1"/>
  <c r="E115" i="1"/>
  <c r="F115" i="1"/>
  <c r="G115" i="1"/>
  <c r="H115" i="1"/>
  <c r="I115" i="1"/>
  <c r="J115" i="1"/>
  <c r="K115" i="1"/>
  <c r="L115" i="1"/>
  <c r="M115" i="1"/>
  <c r="N115" i="1"/>
  <c r="O115" i="1"/>
  <c r="P115" i="1"/>
  <c r="Q115" i="1"/>
  <c r="R115" i="1"/>
  <c r="S115" i="1"/>
  <c r="T115" i="1"/>
  <c r="U115" i="1"/>
  <c r="C141" i="1"/>
  <c r="D141" i="1"/>
  <c r="E141" i="1"/>
  <c r="F141" i="1"/>
  <c r="G141" i="1"/>
  <c r="H141" i="1"/>
  <c r="I141" i="1"/>
  <c r="J141" i="1"/>
  <c r="K141" i="1"/>
  <c r="L141" i="1"/>
  <c r="M141" i="1"/>
  <c r="N141" i="1"/>
  <c r="O141" i="1"/>
  <c r="P141" i="1"/>
  <c r="Q141" i="1"/>
  <c r="R141" i="1"/>
  <c r="S141" i="1"/>
  <c r="T141" i="1"/>
  <c r="U141" i="1"/>
  <c r="V141" i="1"/>
  <c r="W141" i="1"/>
  <c r="X141" i="1"/>
  <c r="Y141" i="1"/>
  <c r="Z141" i="1"/>
  <c r="AA141" i="1"/>
  <c r="AB141" i="1"/>
  <c r="AC141" i="1"/>
  <c r="AD141" i="1"/>
  <c r="AE141" i="1"/>
  <c r="AF141" i="1"/>
  <c r="C144" i="1"/>
  <c r="C652" i="1"/>
  <c r="C653" i="1"/>
  <c r="C146" i="1"/>
  <c r="D652" i="1"/>
  <c r="D653" i="1"/>
  <c r="D146" i="1"/>
  <c r="E652" i="1"/>
  <c r="E653" i="1"/>
  <c r="E146" i="1"/>
  <c r="F652" i="1"/>
  <c r="F653" i="1"/>
  <c r="F146" i="1"/>
  <c r="G652" i="1"/>
  <c r="G653" i="1"/>
  <c r="G146" i="1"/>
  <c r="H652" i="1"/>
  <c r="H653" i="1"/>
  <c r="H146" i="1"/>
  <c r="I652" i="1"/>
  <c r="I653" i="1"/>
  <c r="I146" i="1"/>
  <c r="J652" i="1"/>
  <c r="J653" i="1"/>
  <c r="J146" i="1"/>
  <c r="K652" i="1"/>
  <c r="K653" i="1"/>
  <c r="K146" i="1"/>
  <c r="L652" i="1"/>
  <c r="L653" i="1"/>
  <c r="L146" i="1"/>
  <c r="M652" i="1"/>
  <c r="M653" i="1"/>
  <c r="M146" i="1"/>
  <c r="N652" i="1"/>
  <c r="N653" i="1"/>
  <c r="N146" i="1"/>
  <c r="O652" i="1"/>
  <c r="O653" i="1"/>
  <c r="O146" i="1"/>
  <c r="P652" i="1"/>
  <c r="P653" i="1"/>
  <c r="P146" i="1"/>
  <c r="Q652" i="1"/>
  <c r="Q653" i="1"/>
  <c r="Q146" i="1"/>
  <c r="R652" i="1"/>
  <c r="R653" i="1"/>
  <c r="R146" i="1"/>
  <c r="S652" i="1"/>
  <c r="S653" i="1"/>
  <c r="S146" i="1"/>
  <c r="T652" i="1"/>
  <c r="T653" i="1"/>
  <c r="T146" i="1"/>
  <c r="U652" i="1"/>
  <c r="U653" i="1"/>
  <c r="U146" i="1"/>
  <c r="V652" i="1"/>
  <c r="V653" i="1"/>
  <c r="V146" i="1"/>
  <c r="W652" i="1"/>
  <c r="W653" i="1"/>
  <c r="W146" i="1"/>
  <c r="X652" i="1"/>
  <c r="X653" i="1"/>
  <c r="X146" i="1"/>
  <c r="Y652" i="1"/>
  <c r="Y653" i="1"/>
  <c r="Y146" i="1"/>
  <c r="Z652" i="1"/>
  <c r="Z653" i="1"/>
  <c r="Z146" i="1"/>
  <c r="AA652" i="1"/>
  <c r="AA653" i="1"/>
  <c r="AA146" i="1"/>
  <c r="AB652" i="1"/>
  <c r="AB653" i="1"/>
  <c r="AB146" i="1"/>
  <c r="AC652" i="1"/>
  <c r="AC653" i="1"/>
  <c r="AC146" i="1"/>
  <c r="AD652" i="1"/>
  <c r="AD653" i="1"/>
  <c r="AD146" i="1"/>
  <c r="AE652" i="1"/>
  <c r="AE653" i="1"/>
  <c r="AE146" i="1"/>
  <c r="AF652" i="1"/>
  <c r="AF653" i="1"/>
  <c r="AF146" i="1"/>
  <c r="C147" i="1"/>
  <c r="D147" i="1"/>
  <c r="E147" i="1"/>
  <c r="F147" i="1"/>
  <c r="G147" i="1"/>
  <c r="H147" i="1"/>
  <c r="I147" i="1"/>
  <c r="J147" i="1"/>
  <c r="K147" i="1"/>
  <c r="L147" i="1"/>
  <c r="M147" i="1"/>
  <c r="N147" i="1"/>
  <c r="O147" i="1"/>
  <c r="P147" i="1"/>
  <c r="Q147" i="1"/>
  <c r="R147" i="1"/>
  <c r="S147" i="1"/>
  <c r="T147" i="1"/>
  <c r="U147" i="1"/>
  <c r="V147" i="1"/>
  <c r="W147" i="1"/>
  <c r="X147" i="1"/>
  <c r="Y147" i="1"/>
  <c r="Z147" i="1"/>
  <c r="AA147" i="1"/>
  <c r="AB147" i="1"/>
  <c r="AC147" i="1"/>
  <c r="AD147" i="1"/>
  <c r="AE147" i="1"/>
  <c r="AF147" i="1"/>
  <c r="C176" i="1"/>
  <c r="D176" i="1"/>
  <c r="E176" i="1"/>
  <c r="F176" i="1"/>
  <c r="G176" i="1"/>
  <c r="H176" i="1"/>
  <c r="I176" i="1"/>
  <c r="J176" i="1"/>
  <c r="K176" i="1"/>
  <c r="L176" i="1"/>
  <c r="M176" i="1"/>
  <c r="N176" i="1"/>
  <c r="O176" i="1"/>
  <c r="P176" i="1"/>
  <c r="Q176" i="1"/>
  <c r="R176" i="1"/>
  <c r="S176" i="1"/>
  <c r="T176" i="1"/>
  <c r="U176" i="1"/>
  <c r="V176" i="1"/>
  <c r="W176" i="1"/>
  <c r="X176" i="1"/>
  <c r="Y176" i="1"/>
  <c r="Z176" i="1"/>
  <c r="AA176" i="1"/>
  <c r="AB176" i="1"/>
  <c r="AC176" i="1"/>
  <c r="AD176" i="1"/>
  <c r="AE176" i="1"/>
  <c r="AF176" i="1"/>
  <c r="C177" i="1"/>
  <c r="D177" i="1"/>
  <c r="E177" i="1"/>
  <c r="F177" i="1"/>
  <c r="G177" i="1"/>
  <c r="H177" i="1"/>
  <c r="I177" i="1"/>
  <c r="J177" i="1"/>
  <c r="K177" i="1"/>
  <c r="L177" i="1"/>
  <c r="M177" i="1"/>
  <c r="N177" i="1"/>
  <c r="O177" i="1"/>
  <c r="P177" i="1"/>
  <c r="Q177" i="1"/>
  <c r="R177" i="1"/>
  <c r="S177" i="1"/>
  <c r="T177" i="1"/>
  <c r="U177" i="1"/>
  <c r="V177" i="1"/>
  <c r="W177" i="1"/>
  <c r="X177" i="1"/>
  <c r="Y177" i="1"/>
  <c r="Z177" i="1"/>
  <c r="AA177" i="1"/>
  <c r="AB177" i="1"/>
  <c r="AC177" i="1"/>
  <c r="AD177" i="1"/>
  <c r="AE177" i="1"/>
  <c r="AF177" i="1"/>
  <c r="C179" i="1"/>
  <c r="D179" i="1"/>
  <c r="E179" i="1"/>
  <c r="F179" i="1"/>
  <c r="G179" i="1"/>
  <c r="H179" i="1"/>
  <c r="I179" i="1"/>
  <c r="J179" i="1"/>
  <c r="K179" i="1"/>
  <c r="L179" i="1"/>
  <c r="M179" i="1"/>
  <c r="N179" i="1"/>
  <c r="O179" i="1"/>
  <c r="P179" i="1"/>
  <c r="Q179" i="1"/>
  <c r="R179" i="1"/>
  <c r="S179" i="1"/>
  <c r="T179" i="1"/>
  <c r="U179" i="1"/>
  <c r="V179" i="1"/>
  <c r="W179" i="1"/>
  <c r="X179" i="1"/>
  <c r="Y179" i="1"/>
  <c r="Z179" i="1"/>
  <c r="AA179" i="1"/>
  <c r="AB179" i="1"/>
  <c r="AC179" i="1"/>
  <c r="AD179" i="1"/>
  <c r="AE179" i="1"/>
  <c r="AF179" i="1"/>
  <c r="C181" i="1"/>
  <c r="D181" i="1"/>
  <c r="E181" i="1"/>
  <c r="F181" i="1"/>
  <c r="G181" i="1"/>
  <c r="H181" i="1"/>
  <c r="I181" i="1"/>
  <c r="J181" i="1"/>
  <c r="K181" i="1"/>
  <c r="L181" i="1"/>
  <c r="M181" i="1"/>
  <c r="N181" i="1"/>
  <c r="O181" i="1"/>
  <c r="P181" i="1"/>
  <c r="Q181" i="1"/>
  <c r="R181" i="1"/>
  <c r="S181" i="1"/>
  <c r="T181" i="1"/>
  <c r="U181" i="1"/>
  <c r="V181" i="1"/>
  <c r="W181" i="1"/>
  <c r="X181" i="1"/>
  <c r="Y181" i="1"/>
  <c r="Z181" i="1"/>
  <c r="AA181" i="1"/>
  <c r="AB181" i="1"/>
  <c r="AC181" i="1"/>
  <c r="AD181" i="1"/>
  <c r="AE181" i="1"/>
  <c r="AF181" i="1"/>
  <c r="C225" i="1"/>
  <c r="D225" i="1"/>
  <c r="E225" i="1"/>
  <c r="F225" i="1"/>
  <c r="G225" i="1"/>
  <c r="H225" i="1"/>
  <c r="I225" i="1"/>
  <c r="J225" i="1"/>
  <c r="K225" i="1"/>
  <c r="L225" i="1"/>
  <c r="M225" i="1"/>
  <c r="N225" i="1"/>
  <c r="O225" i="1"/>
  <c r="P225" i="1"/>
  <c r="Q225" i="1"/>
  <c r="R225" i="1"/>
  <c r="S225" i="1"/>
  <c r="T225" i="1"/>
  <c r="U225" i="1"/>
  <c r="V225" i="1"/>
  <c r="W225" i="1"/>
  <c r="X225" i="1"/>
  <c r="Y225" i="1"/>
  <c r="Z225" i="1"/>
  <c r="AA225" i="1"/>
  <c r="AB225" i="1"/>
  <c r="AC225" i="1"/>
  <c r="AD225" i="1"/>
  <c r="AE225" i="1"/>
  <c r="AF225" i="1"/>
  <c r="C237" i="1"/>
  <c r="D237" i="1"/>
  <c r="E237" i="1"/>
  <c r="F237" i="1"/>
  <c r="G237" i="1"/>
  <c r="H237" i="1"/>
  <c r="I237" i="1"/>
  <c r="J237" i="1"/>
  <c r="K237" i="1"/>
  <c r="L237" i="1"/>
  <c r="M237" i="1"/>
  <c r="N237" i="1"/>
  <c r="O237" i="1"/>
  <c r="P237" i="1"/>
  <c r="Q237" i="1"/>
  <c r="R237" i="1"/>
  <c r="S237" i="1"/>
  <c r="T237" i="1"/>
  <c r="U237" i="1"/>
  <c r="V237" i="1"/>
  <c r="W237" i="1"/>
  <c r="X237" i="1"/>
  <c r="Y237" i="1"/>
  <c r="Z237" i="1"/>
  <c r="AA237" i="1"/>
  <c r="AB237" i="1"/>
  <c r="AC237" i="1"/>
  <c r="AD237" i="1"/>
  <c r="AE237" i="1"/>
  <c r="AF237" i="1"/>
  <c r="C238" i="1"/>
  <c r="D238" i="1"/>
  <c r="E238" i="1"/>
  <c r="F238" i="1"/>
  <c r="G238" i="1"/>
  <c r="H238" i="1"/>
  <c r="I238" i="1"/>
  <c r="J238" i="1"/>
  <c r="K238" i="1"/>
  <c r="L238" i="1"/>
  <c r="M238" i="1"/>
  <c r="N238" i="1"/>
  <c r="O238" i="1"/>
  <c r="P238" i="1"/>
  <c r="Q238" i="1"/>
  <c r="R238" i="1"/>
  <c r="S238" i="1"/>
  <c r="T238" i="1"/>
  <c r="U238" i="1"/>
  <c r="V238" i="1"/>
  <c r="W238" i="1"/>
  <c r="X238" i="1"/>
  <c r="Y238" i="1"/>
  <c r="Z238" i="1"/>
  <c r="AA238" i="1"/>
  <c r="AB238" i="1"/>
  <c r="AC238" i="1"/>
  <c r="AD238" i="1"/>
  <c r="AE238" i="1"/>
  <c r="AF238" i="1"/>
  <c r="Q255" i="1"/>
  <c r="AA255" i="1"/>
  <c r="AB255" i="1"/>
  <c r="AC255" i="1"/>
  <c r="AD255" i="1"/>
  <c r="AE255" i="1"/>
  <c r="AF255" i="1"/>
  <c r="Q259" i="1"/>
  <c r="AA259" i="1"/>
  <c r="AB259" i="1"/>
  <c r="AC259" i="1"/>
  <c r="AD259" i="1"/>
  <c r="AE259" i="1"/>
  <c r="AF259" i="1"/>
  <c r="C281" i="1"/>
  <c r="D281" i="1"/>
  <c r="E281" i="1"/>
  <c r="F281" i="1"/>
  <c r="G281" i="1"/>
  <c r="H281" i="1"/>
  <c r="I281" i="1"/>
  <c r="J281" i="1"/>
  <c r="K281" i="1"/>
  <c r="L281" i="1"/>
  <c r="M281" i="1"/>
  <c r="N281" i="1"/>
  <c r="O281" i="1"/>
  <c r="P281" i="1"/>
  <c r="Q281" i="1"/>
  <c r="R281" i="1"/>
  <c r="S281" i="1"/>
  <c r="T281" i="1"/>
  <c r="U281" i="1"/>
  <c r="V281" i="1"/>
  <c r="W281" i="1"/>
  <c r="X281" i="1"/>
  <c r="Y281" i="1"/>
  <c r="Z281" i="1"/>
  <c r="AA281" i="1"/>
  <c r="AB281" i="1"/>
  <c r="AC281" i="1"/>
  <c r="AD281" i="1"/>
  <c r="AE281" i="1"/>
  <c r="AF281" i="1"/>
  <c r="Q332" i="1"/>
  <c r="AA332" i="1"/>
  <c r="AB332" i="1"/>
  <c r="AC332" i="1"/>
  <c r="AD332" i="1"/>
  <c r="AE332" i="1"/>
  <c r="AF332" i="1"/>
  <c r="Q333" i="1"/>
  <c r="AA333" i="1"/>
  <c r="AB333" i="1"/>
  <c r="AC333" i="1"/>
  <c r="AD333" i="1"/>
  <c r="AE333" i="1"/>
  <c r="AF333" i="1"/>
  <c r="Q334" i="1"/>
  <c r="AA334" i="1"/>
  <c r="AB334" i="1"/>
  <c r="AC334" i="1"/>
  <c r="AD334" i="1"/>
  <c r="AE334" i="1"/>
  <c r="AF334" i="1"/>
  <c r="Q335" i="1"/>
  <c r="AA335" i="1"/>
  <c r="AB335" i="1"/>
  <c r="AC335" i="1"/>
  <c r="AD335" i="1"/>
  <c r="AE335" i="1"/>
  <c r="AF335" i="1"/>
  <c r="Q336" i="1"/>
  <c r="AA336" i="1"/>
  <c r="AB336" i="1"/>
  <c r="AC336" i="1"/>
  <c r="AD336" i="1"/>
  <c r="AE336" i="1"/>
  <c r="AF336" i="1"/>
  <c r="Q337" i="1"/>
  <c r="AA337" i="1"/>
  <c r="AB337" i="1"/>
  <c r="AC337" i="1"/>
  <c r="AD337" i="1"/>
  <c r="AE337" i="1"/>
  <c r="AF337" i="1"/>
  <c r="C354" i="1"/>
  <c r="D354" i="1"/>
  <c r="E354" i="1"/>
  <c r="F354" i="1"/>
  <c r="G354" i="1"/>
  <c r="H354" i="1"/>
  <c r="I354" i="1"/>
  <c r="J354" i="1"/>
  <c r="K354" i="1"/>
  <c r="L354" i="1"/>
  <c r="M354" i="1"/>
  <c r="N354" i="1"/>
  <c r="O354" i="1"/>
  <c r="P354" i="1"/>
  <c r="Q354" i="1"/>
  <c r="R354" i="1"/>
  <c r="S354" i="1"/>
  <c r="T354" i="1"/>
  <c r="U354" i="1"/>
  <c r="V354" i="1"/>
  <c r="W354" i="1"/>
  <c r="X354" i="1"/>
  <c r="Y354" i="1"/>
  <c r="Z354" i="1"/>
  <c r="AA354" i="1"/>
  <c r="AB354" i="1"/>
  <c r="AC354" i="1"/>
  <c r="AD354" i="1"/>
  <c r="AE354" i="1"/>
  <c r="AF354" i="1"/>
  <c r="C355" i="1"/>
  <c r="D355" i="1"/>
  <c r="E355" i="1"/>
  <c r="F355" i="1"/>
  <c r="G355" i="1"/>
  <c r="H355" i="1"/>
  <c r="I355" i="1"/>
  <c r="J355" i="1"/>
  <c r="K355" i="1"/>
  <c r="L355" i="1"/>
  <c r="M355" i="1"/>
  <c r="N355" i="1"/>
  <c r="O355" i="1"/>
  <c r="P355" i="1"/>
  <c r="Q355" i="1"/>
  <c r="R355" i="1"/>
  <c r="S355" i="1"/>
  <c r="T355" i="1"/>
  <c r="U355" i="1"/>
  <c r="V355" i="1"/>
  <c r="W355" i="1"/>
  <c r="X355" i="1"/>
  <c r="Y355" i="1"/>
  <c r="Z355" i="1"/>
  <c r="AA355" i="1"/>
  <c r="AB355" i="1"/>
  <c r="AC355" i="1"/>
  <c r="AD355" i="1"/>
  <c r="AE355" i="1"/>
  <c r="AF355" i="1"/>
  <c r="C356" i="1"/>
  <c r="D356" i="1"/>
  <c r="E356" i="1"/>
  <c r="F356" i="1"/>
  <c r="G356" i="1"/>
  <c r="H356" i="1"/>
  <c r="I356" i="1"/>
  <c r="J356" i="1"/>
  <c r="K356" i="1"/>
  <c r="L356" i="1"/>
  <c r="M356" i="1"/>
  <c r="N356" i="1"/>
  <c r="O356" i="1"/>
  <c r="P356" i="1"/>
  <c r="Q356" i="1"/>
  <c r="R356" i="1"/>
  <c r="S356" i="1"/>
  <c r="T356" i="1"/>
  <c r="U356" i="1"/>
  <c r="V356" i="1"/>
  <c r="W356" i="1"/>
  <c r="X356" i="1"/>
  <c r="Y356" i="1"/>
  <c r="Z356" i="1"/>
  <c r="AA356" i="1"/>
  <c r="AB356" i="1"/>
  <c r="AC356" i="1"/>
  <c r="AD356" i="1"/>
  <c r="AE356" i="1"/>
  <c r="AF356" i="1"/>
  <c r="C357" i="1"/>
  <c r="D357" i="1"/>
  <c r="E357" i="1"/>
  <c r="F357" i="1"/>
  <c r="G357" i="1"/>
  <c r="H357" i="1"/>
  <c r="I357" i="1"/>
  <c r="J357" i="1"/>
  <c r="K357" i="1"/>
  <c r="L357" i="1"/>
  <c r="M357" i="1"/>
  <c r="N357" i="1"/>
  <c r="O357" i="1"/>
  <c r="P357" i="1"/>
  <c r="Q357" i="1"/>
  <c r="R357" i="1"/>
  <c r="S357" i="1"/>
  <c r="T357" i="1"/>
  <c r="U357" i="1"/>
  <c r="V357" i="1"/>
  <c r="W357" i="1"/>
  <c r="X357" i="1"/>
  <c r="Y357" i="1"/>
  <c r="Z357" i="1"/>
  <c r="AA357" i="1"/>
  <c r="AB357" i="1"/>
  <c r="AC357" i="1"/>
  <c r="AD357" i="1"/>
  <c r="AE357" i="1"/>
  <c r="AF357" i="1"/>
  <c r="C358" i="1"/>
  <c r="D358" i="1"/>
  <c r="E358" i="1"/>
  <c r="F358" i="1"/>
  <c r="G358" i="1"/>
  <c r="H358" i="1"/>
  <c r="I358" i="1"/>
  <c r="J358" i="1"/>
  <c r="K358" i="1"/>
  <c r="L358" i="1"/>
  <c r="M358" i="1"/>
  <c r="N358" i="1"/>
  <c r="O358" i="1"/>
  <c r="P358" i="1"/>
  <c r="Q358" i="1"/>
  <c r="R358" i="1"/>
  <c r="S358" i="1"/>
  <c r="T358" i="1"/>
  <c r="U358" i="1"/>
  <c r="V358" i="1"/>
  <c r="W358" i="1"/>
  <c r="X358" i="1"/>
  <c r="Y358" i="1"/>
  <c r="Z358" i="1"/>
  <c r="AA358" i="1"/>
  <c r="AB358" i="1"/>
  <c r="AC358" i="1"/>
  <c r="AD358" i="1"/>
  <c r="AE358" i="1"/>
  <c r="AF358" i="1"/>
  <c r="C359" i="1"/>
  <c r="D359" i="1"/>
  <c r="E359" i="1"/>
  <c r="F359" i="1"/>
  <c r="G359" i="1"/>
  <c r="H359" i="1"/>
  <c r="I359" i="1"/>
  <c r="J359" i="1"/>
  <c r="K359" i="1"/>
  <c r="L359" i="1"/>
  <c r="M359" i="1"/>
  <c r="N359" i="1"/>
  <c r="O359" i="1"/>
  <c r="P359" i="1"/>
  <c r="Q359" i="1"/>
  <c r="R359" i="1"/>
  <c r="S359" i="1"/>
  <c r="T359" i="1"/>
  <c r="U359" i="1"/>
  <c r="V359" i="1"/>
  <c r="W359" i="1"/>
  <c r="X359" i="1"/>
  <c r="Y359" i="1"/>
  <c r="Z359" i="1"/>
  <c r="AA359" i="1"/>
  <c r="AB359" i="1"/>
  <c r="AC359" i="1"/>
  <c r="AD359" i="1"/>
  <c r="AE359" i="1"/>
  <c r="AF359" i="1"/>
  <c r="C372" i="1"/>
  <c r="D372" i="1"/>
  <c r="E372" i="1"/>
  <c r="F372" i="1"/>
  <c r="G372" i="1"/>
  <c r="H372" i="1"/>
  <c r="I372" i="1"/>
  <c r="J372" i="1"/>
  <c r="K372" i="1"/>
  <c r="L372" i="1"/>
  <c r="M372" i="1"/>
  <c r="N372" i="1"/>
  <c r="O372" i="1"/>
  <c r="P372" i="1"/>
  <c r="Q372" i="1"/>
  <c r="R372" i="1"/>
  <c r="S372" i="1"/>
  <c r="T372" i="1"/>
  <c r="U372" i="1"/>
  <c r="V372" i="1"/>
  <c r="W372" i="1"/>
  <c r="X372" i="1"/>
  <c r="Y372" i="1"/>
  <c r="Z372" i="1"/>
  <c r="AA372" i="1"/>
  <c r="AB372" i="1"/>
  <c r="AC372" i="1"/>
  <c r="AD372" i="1"/>
  <c r="AE372" i="1"/>
  <c r="AF372" i="1"/>
  <c r="C373" i="1"/>
  <c r="D373" i="1"/>
  <c r="E373" i="1"/>
  <c r="F373" i="1"/>
  <c r="G373" i="1"/>
  <c r="H373" i="1"/>
  <c r="I373" i="1"/>
  <c r="J373" i="1"/>
  <c r="K373" i="1"/>
  <c r="L373" i="1"/>
  <c r="M373" i="1"/>
  <c r="N373" i="1"/>
  <c r="O373" i="1"/>
  <c r="P373" i="1"/>
  <c r="Q373" i="1"/>
  <c r="R373" i="1"/>
  <c r="S373" i="1"/>
  <c r="T373" i="1"/>
  <c r="U373" i="1"/>
  <c r="V373" i="1"/>
  <c r="W373" i="1"/>
  <c r="X373" i="1"/>
  <c r="Y373" i="1"/>
  <c r="Z373" i="1"/>
  <c r="AA373" i="1"/>
  <c r="AB373" i="1"/>
  <c r="AC373" i="1"/>
  <c r="AD373" i="1"/>
  <c r="AE373" i="1"/>
  <c r="AF373" i="1"/>
  <c r="C374" i="1"/>
  <c r="D374" i="1"/>
  <c r="E374" i="1"/>
  <c r="F374" i="1"/>
  <c r="G374" i="1"/>
  <c r="H374" i="1"/>
  <c r="I374" i="1"/>
  <c r="J374" i="1"/>
  <c r="K374" i="1"/>
  <c r="L374" i="1"/>
  <c r="M374" i="1"/>
  <c r="N374" i="1"/>
  <c r="O374" i="1"/>
  <c r="P374" i="1"/>
  <c r="Q374" i="1"/>
  <c r="R374" i="1"/>
  <c r="S374" i="1"/>
  <c r="T374" i="1"/>
  <c r="U374" i="1"/>
  <c r="V374" i="1"/>
  <c r="W374" i="1"/>
  <c r="X374" i="1"/>
  <c r="Y374" i="1"/>
  <c r="Z374" i="1"/>
  <c r="AA374" i="1"/>
  <c r="AB374" i="1"/>
  <c r="AC374" i="1"/>
  <c r="AD374" i="1"/>
  <c r="AE374" i="1"/>
  <c r="AF374" i="1"/>
  <c r="C375" i="1"/>
  <c r="D375" i="1"/>
  <c r="E375" i="1"/>
  <c r="F375" i="1"/>
  <c r="G375" i="1"/>
  <c r="H375" i="1"/>
  <c r="I375" i="1"/>
  <c r="J375" i="1"/>
  <c r="K375" i="1"/>
  <c r="L375" i="1"/>
  <c r="M375" i="1"/>
  <c r="N375" i="1"/>
  <c r="O375" i="1"/>
  <c r="P375" i="1"/>
  <c r="Q375" i="1"/>
  <c r="R375" i="1"/>
  <c r="S375" i="1"/>
  <c r="T375" i="1"/>
  <c r="U375" i="1"/>
  <c r="V375" i="1"/>
  <c r="W375" i="1"/>
  <c r="X375" i="1"/>
  <c r="Y375" i="1"/>
  <c r="Z375" i="1"/>
  <c r="AA375" i="1"/>
  <c r="AB375" i="1"/>
  <c r="AC375" i="1"/>
  <c r="AD375" i="1"/>
  <c r="AE375" i="1"/>
  <c r="AF375" i="1"/>
  <c r="C377" i="1"/>
  <c r="D377" i="1"/>
  <c r="E377" i="1"/>
  <c r="F377" i="1"/>
  <c r="G377" i="1"/>
  <c r="H377" i="1"/>
  <c r="I377" i="1"/>
  <c r="J377" i="1"/>
  <c r="K377" i="1"/>
  <c r="L377" i="1"/>
  <c r="M377" i="1"/>
  <c r="N377" i="1"/>
  <c r="O377" i="1"/>
  <c r="P377" i="1"/>
  <c r="Q377" i="1"/>
  <c r="R377" i="1"/>
  <c r="S377" i="1"/>
  <c r="T377" i="1"/>
  <c r="U377" i="1"/>
  <c r="V377" i="1"/>
  <c r="W377" i="1"/>
  <c r="X377" i="1"/>
  <c r="Y377" i="1"/>
  <c r="Z377" i="1"/>
  <c r="AA377" i="1"/>
  <c r="AB377" i="1"/>
  <c r="AC377" i="1"/>
  <c r="AD377" i="1"/>
  <c r="AE377" i="1"/>
  <c r="AF377" i="1"/>
  <c r="C378" i="1"/>
  <c r="D378" i="1"/>
  <c r="E378" i="1"/>
  <c r="F378" i="1"/>
  <c r="G378" i="1"/>
  <c r="H378" i="1"/>
  <c r="I378" i="1"/>
  <c r="J378" i="1"/>
  <c r="K378" i="1"/>
  <c r="L378" i="1"/>
  <c r="M378" i="1"/>
  <c r="N378" i="1"/>
  <c r="O378" i="1"/>
  <c r="P378" i="1"/>
  <c r="Q378" i="1"/>
  <c r="R378" i="1"/>
  <c r="S378" i="1"/>
  <c r="T378" i="1"/>
  <c r="U378" i="1"/>
  <c r="V378" i="1"/>
  <c r="W378" i="1"/>
  <c r="X378" i="1"/>
  <c r="Y378" i="1"/>
  <c r="Z378" i="1"/>
  <c r="AA378" i="1"/>
  <c r="AB378" i="1"/>
  <c r="AC378" i="1"/>
  <c r="AD378" i="1"/>
  <c r="AE378" i="1"/>
  <c r="AF378" i="1"/>
  <c r="C379" i="1"/>
  <c r="D379" i="1"/>
  <c r="E379" i="1"/>
  <c r="F379" i="1"/>
  <c r="G379" i="1"/>
  <c r="H379" i="1"/>
  <c r="I379" i="1"/>
  <c r="J379" i="1"/>
  <c r="K379" i="1"/>
  <c r="L379" i="1"/>
  <c r="M379" i="1"/>
  <c r="N379" i="1"/>
  <c r="O379" i="1"/>
  <c r="P379" i="1"/>
  <c r="Q379" i="1"/>
  <c r="R379" i="1"/>
  <c r="S379" i="1"/>
  <c r="T379" i="1"/>
  <c r="U379" i="1"/>
  <c r="V379" i="1"/>
  <c r="W379" i="1"/>
  <c r="X379" i="1"/>
  <c r="Y379" i="1"/>
  <c r="Z379" i="1"/>
  <c r="AA379" i="1"/>
  <c r="AB379" i="1"/>
  <c r="AC379" i="1"/>
  <c r="AD379" i="1"/>
  <c r="AE379" i="1"/>
  <c r="AF379" i="1"/>
  <c r="C380" i="1"/>
  <c r="D380" i="1"/>
  <c r="E380" i="1"/>
  <c r="F380" i="1"/>
  <c r="G380" i="1"/>
  <c r="H380" i="1"/>
  <c r="I380" i="1"/>
  <c r="J380" i="1"/>
  <c r="K380" i="1"/>
  <c r="L380" i="1"/>
  <c r="M380" i="1"/>
  <c r="N380" i="1"/>
  <c r="O380" i="1"/>
  <c r="P380" i="1"/>
  <c r="Q380" i="1"/>
  <c r="R380" i="1"/>
  <c r="S380" i="1"/>
  <c r="T380" i="1"/>
  <c r="U380" i="1"/>
  <c r="V380" i="1"/>
  <c r="W380" i="1"/>
  <c r="X380" i="1"/>
  <c r="Y380" i="1"/>
  <c r="Z380" i="1"/>
  <c r="AA380" i="1"/>
  <c r="AB380" i="1"/>
  <c r="AC380" i="1"/>
  <c r="AD380" i="1"/>
  <c r="AE380" i="1"/>
  <c r="AF380" i="1"/>
  <c r="C381" i="1"/>
  <c r="D381" i="1"/>
  <c r="E381" i="1"/>
  <c r="F381" i="1"/>
  <c r="G381" i="1"/>
  <c r="H381" i="1"/>
  <c r="I381" i="1"/>
  <c r="J381" i="1"/>
  <c r="K381" i="1"/>
  <c r="L381" i="1"/>
  <c r="M381" i="1"/>
  <c r="N381" i="1"/>
  <c r="O381" i="1"/>
  <c r="P381" i="1"/>
  <c r="Q381" i="1"/>
  <c r="R381" i="1"/>
  <c r="S381" i="1"/>
  <c r="T381" i="1"/>
  <c r="U381" i="1"/>
  <c r="V381" i="1"/>
  <c r="W381" i="1"/>
  <c r="X381" i="1"/>
  <c r="Y381" i="1"/>
  <c r="Z381" i="1"/>
  <c r="AA381" i="1"/>
  <c r="AB381" i="1"/>
  <c r="AC381" i="1"/>
  <c r="AD381" i="1"/>
  <c r="AE381" i="1"/>
  <c r="AF381" i="1"/>
  <c r="C382" i="1"/>
  <c r="D382" i="1"/>
  <c r="E382" i="1"/>
  <c r="F382" i="1"/>
  <c r="G382" i="1"/>
  <c r="H382" i="1"/>
  <c r="I382" i="1"/>
  <c r="J382" i="1"/>
  <c r="K382" i="1"/>
  <c r="L382" i="1"/>
  <c r="M382" i="1"/>
  <c r="N382" i="1"/>
  <c r="O382" i="1"/>
  <c r="P382" i="1"/>
  <c r="Q382" i="1"/>
  <c r="R382" i="1"/>
  <c r="S382" i="1"/>
  <c r="T382" i="1"/>
  <c r="U382" i="1"/>
  <c r="V382" i="1"/>
  <c r="W382" i="1"/>
  <c r="X382" i="1"/>
  <c r="Y382" i="1"/>
  <c r="Z382" i="1"/>
  <c r="AA382" i="1"/>
  <c r="AB382" i="1"/>
  <c r="AC382" i="1"/>
  <c r="AD382" i="1"/>
  <c r="AE382" i="1"/>
  <c r="AF382" i="1"/>
  <c r="C384" i="1"/>
  <c r="D384" i="1"/>
  <c r="E384" i="1"/>
  <c r="F384" i="1"/>
  <c r="G384" i="1"/>
  <c r="H384" i="1"/>
  <c r="I384" i="1"/>
  <c r="J384" i="1"/>
  <c r="K384" i="1"/>
  <c r="L384" i="1"/>
  <c r="M384" i="1"/>
  <c r="N384" i="1"/>
  <c r="O384" i="1"/>
  <c r="P384" i="1"/>
  <c r="Q384" i="1"/>
  <c r="R384" i="1"/>
  <c r="S384" i="1"/>
  <c r="T384" i="1"/>
  <c r="U384" i="1"/>
  <c r="V384" i="1"/>
  <c r="W384" i="1"/>
  <c r="X384" i="1"/>
  <c r="Y384" i="1"/>
  <c r="Z384" i="1"/>
  <c r="AA384" i="1"/>
  <c r="AB384" i="1"/>
  <c r="AC384" i="1"/>
  <c r="AD384" i="1"/>
  <c r="AE384" i="1"/>
  <c r="AF384" i="1"/>
  <c r="C385" i="1"/>
  <c r="D385" i="1"/>
  <c r="E385" i="1"/>
  <c r="F385" i="1"/>
  <c r="G385" i="1"/>
  <c r="H385" i="1"/>
  <c r="I385" i="1"/>
  <c r="J385" i="1"/>
  <c r="K385" i="1"/>
  <c r="L385" i="1"/>
  <c r="M385" i="1"/>
  <c r="N385" i="1"/>
  <c r="O385" i="1"/>
  <c r="P385" i="1"/>
  <c r="Q385" i="1"/>
  <c r="R385" i="1"/>
  <c r="S385" i="1"/>
  <c r="T385" i="1"/>
  <c r="U385" i="1"/>
  <c r="V385" i="1"/>
  <c r="W385" i="1"/>
  <c r="X385" i="1"/>
  <c r="Y385" i="1"/>
  <c r="Z385" i="1"/>
  <c r="AA385" i="1"/>
  <c r="AB385" i="1"/>
  <c r="AC385" i="1"/>
  <c r="AD385" i="1"/>
  <c r="AE385" i="1"/>
  <c r="AF385" i="1"/>
  <c r="C386" i="1"/>
  <c r="D386" i="1"/>
  <c r="E386" i="1"/>
  <c r="F386" i="1"/>
  <c r="G386" i="1"/>
  <c r="H386" i="1"/>
  <c r="I386" i="1"/>
  <c r="J386" i="1"/>
  <c r="K386" i="1"/>
  <c r="L386" i="1"/>
  <c r="M386" i="1"/>
  <c r="N386" i="1"/>
  <c r="O386" i="1"/>
  <c r="P386" i="1"/>
  <c r="Q386" i="1"/>
  <c r="R386" i="1"/>
  <c r="S386" i="1"/>
  <c r="T386" i="1"/>
  <c r="U386" i="1"/>
  <c r="V386" i="1"/>
  <c r="W386" i="1"/>
  <c r="X386" i="1"/>
  <c r="Y386" i="1"/>
  <c r="Z386" i="1"/>
  <c r="AA386" i="1"/>
  <c r="AB386" i="1"/>
  <c r="AC386" i="1"/>
  <c r="AD386" i="1"/>
  <c r="AE386" i="1"/>
  <c r="AF386" i="1"/>
  <c r="C388" i="1"/>
  <c r="D388" i="1"/>
  <c r="E388" i="1"/>
  <c r="F388" i="1"/>
  <c r="G388" i="1"/>
  <c r="H388" i="1"/>
  <c r="I388" i="1"/>
  <c r="J388" i="1"/>
  <c r="K388" i="1"/>
  <c r="L388" i="1"/>
  <c r="M388" i="1"/>
  <c r="N388" i="1"/>
  <c r="O388" i="1"/>
  <c r="P388" i="1"/>
  <c r="Q388" i="1"/>
  <c r="R388" i="1"/>
  <c r="S388" i="1"/>
  <c r="T388" i="1"/>
  <c r="U388" i="1"/>
  <c r="V388" i="1"/>
  <c r="W388" i="1"/>
  <c r="X388" i="1"/>
  <c r="Y388" i="1"/>
  <c r="Z388" i="1"/>
  <c r="AA388" i="1"/>
  <c r="AB388" i="1"/>
  <c r="AC388" i="1"/>
  <c r="AD388" i="1"/>
  <c r="AE388" i="1"/>
  <c r="AF388" i="1"/>
  <c r="C389" i="1"/>
  <c r="D389" i="1"/>
  <c r="E389" i="1"/>
  <c r="F389" i="1"/>
  <c r="G389" i="1"/>
  <c r="H389" i="1"/>
  <c r="I389" i="1"/>
  <c r="J389" i="1"/>
  <c r="K389" i="1"/>
  <c r="L389" i="1"/>
  <c r="M389" i="1"/>
  <c r="N389" i="1"/>
  <c r="O389" i="1"/>
  <c r="P389" i="1"/>
  <c r="Q389" i="1"/>
  <c r="R389" i="1"/>
  <c r="S389" i="1"/>
  <c r="T389" i="1"/>
  <c r="U389" i="1"/>
  <c r="V389" i="1"/>
  <c r="W389" i="1"/>
  <c r="X389" i="1"/>
  <c r="Y389" i="1"/>
  <c r="Z389" i="1"/>
  <c r="AA389" i="1"/>
  <c r="AB389" i="1"/>
  <c r="AC389" i="1"/>
  <c r="AD389" i="1"/>
  <c r="AE389" i="1"/>
  <c r="AF389" i="1"/>
  <c r="C390" i="1"/>
  <c r="D390" i="1"/>
  <c r="E390" i="1"/>
  <c r="F390" i="1"/>
  <c r="G390" i="1"/>
  <c r="H390" i="1"/>
  <c r="I390" i="1"/>
  <c r="J390" i="1"/>
  <c r="K390" i="1"/>
  <c r="L390" i="1"/>
  <c r="M390" i="1"/>
  <c r="N390" i="1"/>
  <c r="O390" i="1"/>
  <c r="P390" i="1"/>
  <c r="Q390" i="1"/>
  <c r="R390" i="1"/>
  <c r="S390" i="1"/>
  <c r="T390" i="1"/>
  <c r="U390" i="1"/>
  <c r="V390" i="1"/>
  <c r="W390" i="1"/>
  <c r="X390" i="1"/>
  <c r="Y390" i="1"/>
  <c r="Z390" i="1"/>
  <c r="AA390" i="1"/>
  <c r="AB390" i="1"/>
  <c r="AC390" i="1"/>
  <c r="AD390" i="1"/>
  <c r="AE390" i="1"/>
  <c r="AF390" i="1"/>
  <c r="C391" i="1"/>
  <c r="D391" i="1"/>
  <c r="E391" i="1"/>
  <c r="F391" i="1"/>
  <c r="G391" i="1"/>
  <c r="H391" i="1"/>
  <c r="I391" i="1"/>
  <c r="J391" i="1"/>
  <c r="K391" i="1"/>
  <c r="L391" i="1"/>
  <c r="M391" i="1"/>
  <c r="N391" i="1"/>
  <c r="O391" i="1"/>
  <c r="P391" i="1"/>
  <c r="Q391" i="1"/>
  <c r="R391" i="1"/>
  <c r="S391" i="1"/>
  <c r="T391" i="1"/>
  <c r="U391" i="1"/>
  <c r="V391" i="1"/>
  <c r="W391" i="1"/>
  <c r="X391" i="1"/>
  <c r="Y391" i="1"/>
  <c r="Z391" i="1"/>
  <c r="AA391" i="1"/>
  <c r="AB391" i="1"/>
  <c r="AC391" i="1"/>
  <c r="AD391" i="1"/>
  <c r="AE391" i="1"/>
  <c r="AF391" i="1"/>
  <c r="C393" i="1"/>
  <c r="D393" i="1"/>
  <c r="E393" i="1"/>
  <c r="F393" i="1"/>
  <c r="G393" i="1"/>
  <c r="H393" i="1"/>
  <c r="I393" i="1"/>
  <c r="J393" i="1"/>
  <c r="K393" i="1"/>
  <c r="L393" i="1"/>
  <c r="M393" i="1"/>
  <c r="N393" i="1"/>
  <c r="O393" i="1"/>
  <c r="P393" i="1"/>
  <c r="Q393" i="1"/>
  <c r="R393" i="1"/>
  <c r="S393" i="1"/>
  <c r="T393" i="1"/>
  <c r="U393" i="1"/>
  <c r="V393" i="1"/>
  <c r="W393" i="1"/>
  <c r="X393" i="1"/>
  <c r="Y393" i="1"/>
  <c r="Z393" i="1"/>
  <c r="AA393" i="1"/>
  <c r="AB393" i="1"/>
  <c r="AC393" i="1"/>
  <c r="AD393" i="1"/>
  <c r="AE393" i="1"/>
  <c r="AF393" i="1"/>
  <c r="C394" i="1"/>
  <c r="D394" i="1"/>
  <c r="E394" i="1"/>
  <c r="F394" i="1"/>
  <c r="G394" i="1"/>
  <c r="H394" i="1"/>
  <c r="I394" i="1"/>
  <c r="J394" i="1"/>
  <c r="K394" i="1"/>
  <c r="L394" i="1"/>
  <c r="M394" i="1"/>
  <c r="N394" i="1"/>
  <c r="O394" i="1"/>
  <c r="P394" i="1"/>
  <c r="Q394" i="1"/>
  <c r="R394" i="1"/>
  <c r="S394" i="1"/>
  <c r="T394" i="1"/>
  <c r="U394" i="1"/>
  <c r="V394" i="1"/>
  <c r="W394" i="1"/>
  <c r="X394" i="1"/>
  <c r="Y394" i="1"/>
  <c r="Z394" i="1"/>
  <c r="AA394" i="1"/>
  <c r="AB394" i="1"/>
  <c r="AC394" i="1"/>
  <c r="AD394" i="1"/>
  <c r="AE394" i="1"/>
  <c r="AF394" i="1"/>
  <c r="C395" i="1"/>
  <c r="D395" i="1"/>
  <c r="E395" i="1"/>
  <c r="F395" i="1"/>
  <c r="G395" i="1"/>
  <c r="H395" i="1"/>
  <c r="I395" i="1"/>
  <c r="J395" i="1"/>
  <c r="K395" i="1"/>
  <c r="L395" i="1"/>
  <c r="M395" i="1"/>
  <c r="N395" i="1"/>
  <c r="O395" i="1"/>
  <c r="P395" i="1"/>
  <c r="Q395" i="1"/>
  <c r="R395" i="1"/>
  <c r="S395" i="1"/>
  <c r="T395" i="1"/>
  <c r="U395" i="1"/>
  <c r="V395" i="1"/>
  <c r="W395" i="1"/>
  <c r="X395" i="1"/>
  <c r="Y395" i="1"/>
  <c r="Z395" i="1"/>
  <c r="AA395" i="1"/>
  <c r="AB395" i="1"/>
  <c r="AC395" i="1"/>
  <c r="AD395" i="1"/>
  <c r="AE395" i="1"/>
  <c r="AF395" i="1"/>
  <c r="C396" i="1"/>
  <c r="D396" i="1"/>
  <c r="E396" i="1"/>
  <c r="F396" i="1"/>
  <c r="G396" i="1"/>
  <c r="H396" i="1"/>
  <c r="I396" i="1"/>
  <c r="J396" i="1"/>
  <c r="K396" i="1"/>
  <c r="L396" i="1"/>
  <c r="M396" i="1"/>
  <c r="N396" i="1"/>
  <c r="O396" i="1"/>
  <c r="P396" i="1"/>
  <c r="Q396" i="1"/>
  <c r="R396" i="1"/>
  <c r="S396" i="1"/>
  <c r="T396" i="1"/>
  <c r="U396" i="1"/>
  <c r="V396" i="1"/>
  <c r="W396" i="1"/>
  <c r="X396" i="1"/>
  <c r="Y396" i="1"/>
  <c r="Z396" i="1"/>
  <c r="AA396" i="1"/>
  <c r="AB396" i="1"/>
  <c r="AC396" i="1"/>
  <c r="AD396" i="1"/>
  <c r="AE396" i="1"/>
  <c r="AF396" i="1"/>
  <c r="C397" i="1"/>
  <c r="D397" i="1"/>
  <c r="E397" i="1"/>
  <c r="F397" i="1"/>
  <c r="G397" i="1"/>
  <c r="H397" i="1"/>
  <c r="I397" i="1"/>
  <c r="J397" i="1"/>
  <c r="K397" i="1"/>
  <c r="L397" i="1"/>
  <c r="M397" i="1"/>
  <c r="N397" i="1"/>
  <c r="O397" i="1"/>
  <c r="P397" i="1"/>
  <c r="Q397" i="1"/>
  <c r="R397" i="1"/>
  <c r="S397" i="1"/>
  <c r="T397" i="1"/>
  <c r="U397" i="1"/>
  <c r="V397" i="1"/>
  <c r="W397" i="1"/>
  <c r="X397" i="1"/>
  <c r="Y397" i="1"/>
  <c r="Z397" i="1"/>
  <c r="AA397" i="1"/>
  <c r="AB397" i="1"/>
  <c r="AC397" i="1"/>
  <c r="AD397" i="1"/>
  <c r="AE397" i="1"/>
  <c r="AF397" i="1"/>
  <c r="C398" i="1"/>
  <c r="D398" i="1"/>
  <c r="E398" i="1"/>
  <c r="F398" i="1"/>
  <c r="G398" i="1"/>
  <c r="H398" i="1"/>
  <c r="I398" i="1"/>
  <c r="J398" i="1"/>
  <c r="K398" i="1"/>
  <c r="L398" i="1"/>
  <c r="M398" i="1"/>
  <c r="N398" i="1"/>
  <c r="O398" i="1"/>
  <c r="P398" i="1"/>
  <c r="Q398" i="1"/>
  <c r="R398" i="1"/>
  <c r="S398" i="1"/>
  <c r="T398" i="1"/>
  <c r="U398" i="1"/>
  <c r="V398" i="1"/>
  <c r="W398" i="1"/>
  <c r="X398" i="1"/>
  <c r="Y398" i="1"/>
  <c r="Z398" i="1"/>
  <c r="AA398" i="1"/>
  <c r="AB398" i="1"/>
  <c r="AC398" i="1"/>
  <c r="AD398" i="1"/>
  <c r="AE398" i="1"/>
  <c r="AF398" i="1"/>
  <c r="C400" i="1"/>
  <c r="D400" i="1"/>
  <c r="E400" i="1"/>
  <c r="F400" i="1"/>
  <c r="G400" i="1"/>
  <c r="H400" i="1"/>
  <c r="I400" i="1"/>
  <c r="J400" i="1"/>
  <c r="K400" i="1"/>
  <c r="L400" i="1"/>
  <c r="M400" i="1"/>
  <c r="N400" i="1"/>
  <c r="O400" i="1"/>
  <c r="P400" i="1"/>
  <c r="Q400" i="1"/>
  <c r="R400" i="1"/>
  <c r="S400" i="1"/>
  <c r="T400" i="1"/>
  <c r="U400" i="1"/>
  <c r="V400" i="1"/>
  <c r="W400" i="1"/>
  <c r="X400" i="1"/>
  <c r="Y400" i="1"/>
  <c r="Z400" i="1"/>
  <c r="AA400" i="1"/>
  <c r="AB400" i="1"/>
  <c r="AC400" i="1"/>
  <c r="AD400" i="1"/>
  <c r="AE400" i="1"/>
  <c r="AF400" i="1"/>
  <c r="C401" i="1"/>
  <c r="D401" i="1"/>
  <c r="E401" i="1"/>
  <c r="F401" i="1"/>
  <c r="G401" i="1"/>
  <c r="H401" i="1"/>
  <c r="I401" i="1"/>
  <c r="J401" i="1"/>
  <c r="K401" i="1"/>
  <c r="L401" i="1"/>
  <c r="M401" i="1"/>
  <c r="N401" i="1"/>
  <c r="O401" i="1"/>
  <c r="P401" i="1"/>
  <c r="Q401" i="1"/>
  <c r="R401" i="1"/>
  <c r="S401" i="1"/>
  <c r="T401" i="1"/>
  <c r="U401" i="1"/>
  <c r="V401" i="1"/>
  <c r="W401" i="1"/>
  <c r="X401" i="1"/>
  <c r="Y401" i="1"/>
  <c r="Z401" i="1"/>
  <c r="AA401" i="1"/>
  <c r="AB401" i="1"/>
  <c r="AC401" i="1"/>
  <c r="AD401" i="1"/>
  <c r="AE401" i="1"/>
  <c r="AF401" i="1"/>
  <c r="C402" i="1"/>
  <c r="D402" i="1"/>
  <c r="E402" i="1"/>
  <c r="F402" i="1"/>
  <c r="G402" i="1"/>
  <c r="H402" i="1"/>
  <c r="I402" i="1"/>
  <c r="J402" i="1"/>
  <c r="K402" i="1"/>
  <c r="L402" i="1"/>
  <c r="M402" i="1"/>
  <c r="N402" i="1"/>
  <c r="O402" i="1"/>
  <c r="P402" i="1"/>
  <c r="Q402" i="1"/>
  <c r="R402" i="1"/>
  <c r="S402" i="1"/>
  <c r="T402" i="1"/>
  <c r="U402" i="1"/>
  <c r="V402" i="1"/>
  <c r="W402" i="1"/>
  <c r="X402" i="1"/>
  <c r="Y402" i="1"/>
  <c r="Z402" i="1"/>
  <c r="AA402" i="1"/>
  <c r="AB402" i="1"/>
  <c r="AC402" i="1"/>
  <c r="AD402" i="1"/>
  <c r="AE402" i="1"/>
  <c r="AF402" i="1"/>
  <c r="AC528" i="1"/>
  <c r="AD528" i="1"/>
  <c r="AE528" i="1"/>
  <c r="AF528" i="1"/>
  <c r="C529" i="1"/>
  <c r="E529" i="1"/>
  <c r="F529" i="1"/>
  <c r="G529" i="1"/>
  <c r="H529" i="1"/>
  <c r="I529" i="1"/>
  <c r="J529" i="1"/>
  <c r="K529" i="1"/>
  <c r="M529" i="1"/>
  <c r="N529" i="1"/>
  <c r="O529" i="1"/>
  <c r="P529" i="1"/>
  <c r="Q529" i="1"/>
  <c r="R529" i="1"/>
  <c r="S529" i="1"/>
  <c r="T529" i="1"/>
  <c r="U529" i="1"/>
  <c r="V529" i="1"/>
  <c r="W529" i="1"/>
  <c r="X529" i="1"/>
  <c r="Y529" i="1"/>
  <c r="Z529" i="1"/>
  <c r="E532" i="1"/>
  <c r="F532" i="1"/>
  <c r="G532" i="1"/>
  <c r="H532" i="1"/>
  <c r="I532" i="1"/>
  <c r="J532" i="1"/>
  <c r="K532" i="1"/>
  <c r="M532" i="1"/>
  <c r="N532" i="1"/>
  <c r="O532" i="1"/>
  <c r="P532" i="1"/>
  <c r="Q532" i="1"/>
  <c r="R532" i="1"/>
  <c r="S532" i="1"/>
  <c r="T532" i="1"/>
  <c r="U532" i="1"/>
  <c r="V532" i="1"/>
  <c r="W532" i="1"/>
  <c r="X532" i="1"/>
  <c r="Y532" i="1"/>
  <c r="Z532" i="1"/>
  <c r="AA532" i="1"/>
  <c r="AB532" i="1"/>
  <c r="AC532" i="1"/>
  <c r="AD532" i="1"/>
  <c r="AE532" i="1"/>
  <c r="AF532" i="1"/>
  <c r="AC536" i="1"/>
  <c r="AD536" i="1"/>
  <c r="AE536" i="1"/>
  <c r="AF536" i="1"/>
  <c r="E537" i="1"/>
  <c r="F537" i="1"/>
  <c r="H537" i="1"/>
  <c r="I537" i="1"/>
  <c r="J537" i="1"/>
  <c r="K537" i="1"/>
  <c r="O537" i="1"/>
  <c r="P537" i="1"/>
  <c r="Q537" i="1"/>
  <c r="R537" i="1"/>
  <c r="S537" i="1"/>
  <c r="T537" i="1"/>
  <c r="U537" i="1"/>
  <c r="V537" i="1"/>
  <c r="W537" i="1"/>
  <c r="X537" i="1"/>
  <c r="Y537" i="1"/>
  <c r="Z537" i="1"/>
  <c r="Q540" i="1"/>
  <c r="R540" i="1"/>
  <c r="U540" i="1"/>
  <c r="W540" i="1"/>
  <c r="X540" i="1"/>
  <c r="Y540" i="1"/>
  <c r="Z540" i="1"/>
  <c r="AA540" i="1"/>
  <c r="AB540" i="1"/>
  <c r="AC540" i="1"/>
  <c r="AD540" i="1"/>
  <c r="AE540" i="1"/>
  <c r="AF540" i="1"/>
  <c r="V544" i="1"/>
  <c r="Q545" i="1"/>
  <c r="R545" i="1"/>
  <c r="U545" i="1"/>
  <c r="W545" i="1"/>
  <c r="X545" i="1"/>
  <c r="Y545" i="1"/>
  <c r="Z545" i="1"/>
  <c r="AA545" i="1"/>
  <c r="AB545" i="1"/>
  <c r="AC545" i="1"/>
  <c r="AD545" i="1"/>
  <c r="AE545" i="1"/>
  <c r="AF545" i="1"/>
  <c r="AC548" i="1"/>
  <c r="AD548" i="1"/>
  <c r="AE548" i="1"/>
  <c r="AF548" i="1"/>
  <c r="M549" i="1"/>
  <c r="P549" i="1"/>
  <c r="X549" i="1"/>
  <c r="Y549" i="1"/>
  <c r="AC552" i="1"/>
  <c r="AD552" i="1"/>
  <c r="AE552" i="1"/>
  <c r="AF552" i="1"/>
  <c r="AB556" i="1"/>
  <c r="AC556" i="1"/>
  <c r="AD556" i="1"/>
  <c r="AE556" i="1"/>
  <c r="AF556" i="1"/>
  <c r="Q560" i="1"/>
  <c r="W560" i="1"/>
  <c r="AE560" i="1"/>
  <c r="T561" i="1"/>
  <c r="AC561" i="1"/>
  <c r="AD561" i="1"/>
  <c r="AF561" i="1"/>
  <c r="W564" i="1"/>
  <c r="AC564" i="1"/>
  <c r="AD564" i="1"/>
  <c r="AF564" i="1"/>
  <c r="AE565" i="1"/>
  <c r="AC568" i="1"/>
  <c r="AD568" i="1"/>
  <c r="AE568" i="1"/>
  <c r="AF568" i="1"/>
  <c r="P569" i="1"/>
  <c r="V569" i="1"/>
  <c r="AC572" i="1"/>
  <c r="AD573" i="1"/>
  <c r="AE573" i="1"/>
  <c r="AF573" i="1"/>
  <c r="R576" i="1"/>
  <c r="V576" i="1"/>
  <c r="Z576" i="1"/>
  <c r="AD576" i="1"/>
  <c r="AF576" i="1"/>
  <c r="AB577" i="1"/>
  <c r="AC577" i="1"/>
  <c r="AE577" i="1"/>
  <c r="X580" i="1"/>
  <c r="Y580" i="1"/>
  <c r="AC581" i="1"/>
  <c r="AD581" i="1"/>
  <c r="AE581" i="1"/>
  <c r="AF581" i="1"/>
  <c r="AC584" i="1"/>
  <c r="AD584" i="1"/>
  <c r="AF584" i="1"/>
  <c r="AA585" i="1"/>
  <c r="AE585" i="1"/>
  <c r="AB588" i="1"/>
  <c r="AC588" i="1"/>
  <c r="AF588" i="1"/>
  <c r="Z589" i="1"/>
  <c r="AD589" i="1"/>
  <c r="AE589" i="1"/>
  <c r="AE592" i="1"/>
  <c r="Y593" i="1"/>
  <c r="AC593" i="1"/>
  <c r="AD593" i="1"/>
  <c r="AF593" i="1"/>
  <c r="R596" i="1"/>
  <c r="Z596" i="1"/>
  <c r="AF596" i="1"/>
  <c r="AC597" i="1"/>
  <c r="AD597" i="1"/>
  <c r="AE597" i="1"/>
  <c r="AC600" i="1"/>
  <c r="AD600" i="1"/>
  <c r="AE600" i="1"/>
  <c r="AF600" i="1"/>
  <c r="R601" i="1"/>
  <c r="AA601" i="1"/>
  <c r="Q604" i="1"/>
  <c r="R604" i="1"/>
  <c r="Z604" i="1"/>
  <c r="AC604" i="1"/>
  <c r="AD604" i="1"/>
  <c r="AE604" i="1"/>
  <c r="AF604" i="1"/>
  <c r="AC608" i="1"/>
  <c r="AD608" i="1"/>
  <c r="V609" i="1"/>
  <c r="AE609" i="1"/>
  <c r="AF609" i="1"/>
  <c r="C612" i="1"/>
  <c r="D612" i="1"/>
  <c r="E612" i="1"/>
  <c r="F612" i="1"/>
  <c r="G612" i="1"/>
  <c r="H612" i="1"/>
  <c r="I612" i="1"/>
  <c r="J612" i="1"/>
  <c r="K612" i="1"/>
  <c r="L612" i="1"/>
  <c r="M612" i="1"/>
  <c r="N612" i="1"/>
  <c r="O612" i="1"/>
  <c r="P612" i="1"/>
  <c r="Q612" i="1"/>
  <c r="R612" i="1"/>
  <c r="S612" i="1"/>
  <c r="T612" i="1"/>
  <c r="U612" i="1"/>
  <c r="V612" i="1"/>
  <c r="W612" i="1"/>
  <c r="X612" i="1"/>
  <c r="Y612" i="1"/>
  <c r="Z612" i="1"/>
  <c r="AA612" i="1"/>
  <c r="AB612" i="1"/>
  <c r="AC612" i="1"/>
  <c r="AD612" i="1"/>
  <c r="AE612" i="1"/>
  <c r="AF612" i="1"/>
  <c r="C613" i="1"/>
  <c r="D613" i="1"/>
  <c r="E613" i="1"/>
  <c r="F613" i="1"/>
  <c r="G613" i="1"/>
  <c r="H613" i="1"/>
  <c r="I613" i="1"/>
  <c r="J613" i="1"/>
  <c r="K613" i="1"/>
  <c r="L613" i="1"/>
  <c r="M613" i="1"/>
  <c r="N613" i="1"/>
  <c r="O613" i="1"/>
  <c r="P613" i="1"/>
  <c r="Q613" i="1"/>
  <c r="R613" i="1"/>
  <c r="S613" i="1"/>
  <c r="T613" i="1"/>
  <c r="U613" i="1"/>
  <c r="V613" i="1"/>
  <c r="W613" i="1"/>
  <c r="X613" i="1"/>
  <c r="Y613" i="1"/>
  <c r="Z613" i="1"/>
  <c r="AA613" i="1"/>
  <c r="AB613" i="1"/>
  <c r="AC613" i="1"/>
  <c r="AD613" i="1"/>
  <c r="AE613" i="1"/>
  <c r="AF613" i="1"/>
  <c r="C614" i="1"/>
  <c r="D614" i="1"/>
  <c r="E614" i="1"/>
  <c r="F614" i="1"/>
  <c r="G614" i="1"/>
  <c r="H614" i="1"/>
  <c r="I614" i="1"/>
  <c r="J614" i="1"/>
  <c r="K614" i="1"/>
  <c r="L614" i="1"/>
  <c r="M614" i="1"/>
  <c r="N614" i="1"/>
  <c r="O614" i="1"/>
  <c r="P614" i="1"/>
  <c r="Q614" i="1"/>
  <c r="R614" i="1"/>
  <c r="S614" i="1"/>
  <c r="T614" i="1"/>
  <c r="U614" i="1"/>
  <c r="V614" i="1"/>
  <c r="W614" i="1"/>
  <c r="X614" i="1"/>
  <c r="Y614" i="1"/>
  <c r="Z614" i="1"/>
  <c r="AA614" i="1"/>
  <c r="AB614" i="1"/>
  <c r="AC614" i="1"/>
  <c r="AD614" i="1"/>
  <c r="AE614" i="1"/>
  <c r="AF614" i="1"/>
  <c r="D682" i="1"/>
  <c r="D679" i="1"/>
  <c r="D680" i="1"/>
  <c r="D683" i="1"/>
  <c r="C691" i="1"/>
  <c r="D691" i="1"/>
  <c r="E691" i="1"/>
  <c r="F691" i="1"/>
  <c r="G691" i="1"/>
  <c r="H691" i="1"/>
  <c r="I691" i="1"/>
  <c r="J691" i="1"/>
  <c r="K691" i="1"/>
  <c r="L691" i="1"/>
  <c r="M691" i="1"/>
  <c r="N691" i="1"/>
  <c r="O691" i="1"/>
  <c r="P691" i="1"/>
  <c r="Q691" i="1"/>
  <c r="R691" i="1"/>
  <c r="S691" i="1"/>
  <c r="T691" i="1"/>
  <c r="U691" i="1"/>
  <c r="V691" i="1"/>
  <c r="W691" i="1"/>
  <c r="X691" i="1"/>
  <c r="Y691" i="1"/>
  <c r="Z691" i="1"/>
  <c r="AA691" i="1"/>
  <c r="AB691" i="1"/>
  <c r="AC691" i="1"/>
  <c r="AD691" i="1"/>
  <c r="AE691" i="1"/>
  <c r="AF691" i="1"/>
  <c r="AC735" i="1"/>
  <c r="AD735" i="1"/>
  <c r="AE735" i="1"/>
  <c r="AF735" i="1"/>
  <c r="C736" i="1"/>
  <c r="E739" i="1"/>
  <c r="F739" i="1"/>
  <c r="G739" i="1"/>
  <c r="H739" i="1"/>
  <c r="I739" i="1"/>
  <c r="J739" i="1"/>
  <c r="K739" i="1"/>
  <c r="M739" i="1"/>
  <c r="N739" i="1"/>
  <c r="O739" i="1"/>
  <c r="P739" i="1"/>
  <c r="Q739" i="1"/>
  <c r="R739" i="1"/>
  <c r="S739" i="1"/>
  <c r="T739" i="1"/>
  <c r="U739" i="1"/>
  <c r="V739" i="1"/>
  <c r="W739" i="1"/>
  <c r="X739" i="1"/>
  <c r="Y739" i="1"/>
  <c r="Z739" i="1"/>
  <c r="AA739" i="1"/>
  <c r="AB739" i="1"/>
  <c r="AC739" i="1"/>
  <c r="AD739" i="1"/>
  <c r="AE739" i="1"/>
  <c r="AF739" i="1"/>
  <c r="AC743" i="1"/>
  <c r="AD743" i="1"/>
  <c r="AE743" i="1"/>
  <c r="AF743" i="1"/>
  <c r="Q747" i="1"/>
  <c r="R747" i="1"/>
  <c r="U747" i="1"/>
  <c r="W747" i="1"/>
  <c r="X747" i="1"/>
  <c r="Y747" i="1"/>
  <c r="Z747" i="1"/>
  <c r="AA747" i="1"/>
  <c r="AB747" i="1"/>
  <c r="AC747" i="1"/>
  <c r="AD747" i="1"/>
  <c r="AE747" i="1"/>
  <c r="AF747" i="1"/>
  <c r="V751" i="1"/>
  <c r="AC755" i="1"/>
  <c r="AD755" i="1"/>
  <c r="AE755" i="1"/>
  <c r="AF755" i="1"/>
  <c r="AC759" i="1"/>
  <c r="AD759" i="1"/>
  <c r="AE759" i="1"/>
  <c r="AF759" i="1"/>
  <c r="AB763" i="1"/>
  <c r="AC763" i="1"/>
  <c r="AD763" i="1"/>
  <c r="AE763" i="1"/>
  <c r="AF763" i="1"/>
  <c r="R767" i="1"/>
  <c r="AE767" i="1"/>
  <c r="AC771" i="1"/>
  <c r="AD771" i="1"/>
  <c r="AF771" i="1"/>
  <c r="AC775" i="1"/>
  <c r="AD775" i="1"/>
  <c r="AE775" i="1"/>
  <c r="AF775" i="1"/>
  <c r="AC779" i="1"/>
  <c r="AD783" i="1"/>
  <c r="AF783" i="1"/>
  <c r="AC787" i="1"/>
  <c r="AF787" i="1"/>
  <c r="AD791" i="1"/>
  <c r="AD795" i="1"/>
  <c r="AE795" i="1"/>
  <c r="P799" i="1"/>
  <c r="AE799" i="1"/>
  <c r="AF799" i="1"/>
  <c r="V803" i="1"/>
  <c r="AC803" i="1"/>
  <c r="AD803" i="1"/>
  <c r="AE803" i="1"/>
  <c r="AC807" i="1"/>
  <c r="AD807" i="1"/>
  <c r="AE807" i="1"/>
  <c r="AF807" i="1"/>
  <c r="R811" i="1"/>
  <c r="V811" i="1"/>
  <c r="AC811" i="1"/>
  <c r="AD811" i="1"/>
  <c r="AE815" i="1"/>
  <c r="C819" i="1"/>
  <c r="D819" i="1"/>
  <c r="E819" i="1"/>
  <c r="F819" i="1"/>
  <c r="G819" i="1"/>
  <c r="H819" i="1"/>
  <c r="I819" i="1"/>
  <c r="J819" i="1"/>
  <c r="K819" i="1"/>
  <c r="L819" i="1"/>
  <c r="M819" i="1"/>
  <c r="N819" i="1"/>
  <c r="O819" i="1"/>
  <c r="P819" i="1"/>
  <c r="Q819" i="1"/>
  <c r="R819" i="1"/>
  <c r="S819" i="1"/>
  <c r="T819" i="1"/>
  <c r="U819" i="1"/>
  <c r="V819" i="1"/>
  <c r="W819" i="1"/>
  <c r="X819" i="1"/>
  <c r="Y819" i="1"/>
  <c r="Z819" i="1"/>
  <c r="AA819" i="1"/>
  <c r="AB819" i="1"/>
  <c r="AC819" i="1"/>
  <c r="AD819" i="1"/>
  <c r="AE819" i="1"/>
  <c r="AF819" i="1"/>
  <c r="C820" i="1"/>
  <c r="D820" i="1"/>
  <c r="E820" i="1"/>
  <c r="F820" i="1"/>
  <c r="G820" i="1"/>
  <c r="H820" i="1"/>
  <c r="I820" i="1"/>
  <c r="J820" i="1"/>
  <c r="K820" i="1"/>
  <c r="L820" i="1"/>
  <c r="M820" i="1"/>
  <c r="N820" i="1"/>
  <c r="O820" i="1"/>
  <c r="P820" i="1"/>
  <c r="Q820" i="1"/>
  <c r="R820" i="1"/>
  <c r="S820" i="1"/>
  <c r="T820" i="1"/>
  <c r="U820" i="1"/>
  <c r="V820" i="1"/>
  <c r="W820" i="1"/>
  <c r="X820" i="1"/>
  <c r="Y820" i="1"/>
  <c r="Z820" i="1"/>
  <c r="AA820" i="1"/>
  <c r="AB820" i="1"/>
  <c r="AC820" i="1"/>
  <c r="AD820" i="1"/>
  <c r="AE820" i="1"/>
  <c r="AF820" i="1"/>
  <c r="C821" i="1"/>
  <c r="D821" i="1"/>
  <c r="E821" i="1"/>
  <c r="F821" i="1"/>
  <c r="G821" i="1"/>
  <c r="H821" i="1"/>
  <c r="I821" i="1"/>
  <c r="J821" i="1"/>
  <c r="K821" i="1"/>
  <c r="L821" i="1"/>
  <c r="M821" i="1"/>
  <c r="N821" i="1"/>
  <c r="O821" i="1"/>
  <c r="P821" i="1"/>
  <c r="Q821" i="1"/>
  <c r="R821" i="1"/>
  <c r="S821" i="1"/>
  <c r="T821" i="1"/>
  <c r="U821" i="1"/>
  <c r="V821" i="1"/>
  <c r="W821" i="1"/>
  <c r="X821" i="1"/>
  <c r="Y821" i="1"/>
  <c r="Z821" i="1"/>
  <c r="AA821" i="1"/>
  <c r="AB821" i="1"/>
  <c r="AC821" i="1"/>
  <c r="AD821" i="1"/>
  <c r="AE821" i="1"/>
  <c r="AF821" i="1"/>
  <c r="A7" i="26"/>
  <c r="A8" i="26"/>
  <c r="B8" i="26"/>
  <c r="C8" i="26"/>
  <c r="D8" i="26"/>
  <c r="E8" i="26"/>
  <c r="F8" i="26"/>
  <c r="G8" i="26"/>
  <c r="I8" i="26"/>
  <c r="J8" i="26"/>
  <c r="K8" i="26"/>
  <c r="L8" i="26"/>
  <c r="M8" i="26"/>
  <c r="N8" i="26"/>
  <c r="O8" i="26"/>
  <c r="P8" i="26"/>
  <c r="R8" i="26"/>
  <c r="S8" i="26"/>
  <c r="T8" i="26"/>
  <c r="U8" i="26"/>
  <c r="V8" i="26"/>
  <c r="W8" i="26"/>
  <c r="Y8" i="26"/>
  <c r="Z8" i="26"/>
  <c r="AA8" i="26"/>
  <c r="AB8" i="26"/>
  <c r="AC8" i="26"/>
  <c r="AD8" i="26"/>
  <c r="AE8" i="26"/>
  <c r="AF8" i="26"/>
  <c r="AG8" i="26"/>
  <c r="AI8" i="26"/>
  <c r="AJ8" i="26"/>
  <c r="AM8" i="26"/>
  <c r="AO8" i="26"/>
  <c r="AP8" i="26"/>
  <c r="AS8" i="26"/>
  <c r="BA8" i="26"/>
  <c r="BB8" i="26"/>
  <c r="BC8" i="26"/>
  <c r="A9" i="26"/>
  <c r="B9" i="26"/>
  <c r="C9" i="26"/>
  <c r="D9" i="26"/>
  <c r="E9" i="26"/>
  <c r="F9" i="26"/>
  <c r="G9" i="26"/>
  <c r="I9" i="26"/>
  <c r="J9" i="26"/>
  <c r="K9" i="26"/>
  <c r="L9" i="26"/>
  <c r="M9" i="26"/>
  <c r="N9" i="26"/>
  <c r="O9" i="26"/>
  <c r="P9" i="26"/>
  <c r="R9" i="26"/>
  <c r="S9" i="26"/>
  <c r="T9" i="26"/>
  <c r="U9" i="26"/>
  <c r="V9" i="26"/>
  <c r="W9" i="26"/>
  <c r="Y9" i="26"/>
  <c r="Z9" i="26"/>
  <c r="AA9" i="26"/>
  <c r="AB9" i="26"/>
  <c r="AC9" i="26"/>
  <c r="AD9" i="26"/>
  <c r="AE9" i="26"/>
  <c r="AF9" i="26"/>
  <c r="AG9" i="26"/>
  <c r="AI9" i="26"/>
  <c r="AJ9" i="26"/>
  <c r="AM9" i="26"/>
  <c r="AO9" i="26"/>
  <c r="AP9" i="26"/>
  <c r="AS9" i="26"/>
  <c r="BA9" i="26"/>
  <c r="BB9" i="26"/>
  <c r="BC9" i="26"/>
  <c r="A10" i="26"/>
  <c r="B10" i="26"/>
  <c r="C10" i="26"/>
  <c r="D10" i="26"/>
  <c r="E10" i="26"/>
  <c r="F10" i="26"/>
  <c r="G10" i="26"/>
  <c r="I10" i="26"/>
  <c r="J10" i="26"/>
  <c r="K10" i="26"/>
  <c r="L10" i="26"/>
  <c r="M10" i="26"/>
  <c r="N10" i="26"/>
  <c r="O10" i="26"/>
  <c r="P10" i="26"/>
  <c r="R10" i="26"/>
  <c r="S10" i="26"/>
  <c r="T10" i="26"/>
  <c r="U10" i="26"/>
  <c r="V10" i="26"/>
  <c r="W10" i="26"/>
  <c r="Y10" i="26"/>
  <c r="Z10" i="26"/>
  <c r="AA10" i="26"/>
  <c r="AB10" i="26"/>
  <c r="AC10" i="26"/>
  <c r="AD10" i="26"/>
  <c r="AE10" i="26"/>
  <c r="AF10" i="26"/>
  <c r="AG10" i="26"/>
  <c r="AI10" i="26"/>
  <c r="AJ10" i="26"/>
  <c r="AM10" i="26"/>
  <c r="AO10" i="26"/>
  <c r="AP10" i="26"/>
  <c r="AS10" i="26"/>
  <c r="BA10" i="26"/>
  <c r="BB10" i="26"/>
  <c r="BC10" i="26"/>
  <c r="A11" i="26"/>
  <c r="B11" i="26"/>
  <c r="C11" i="26"/>
  <c r="D11" i="26"/>
  <c r="E11" i="26"/>
  <c r="F11" i="26"/>
  <c r="G11" i="26"/>
  <c r="I11" i="26"/>
  <c r="J11" i="26"/>
  <c r="K11" i="26"/>
  <c r="L11" i="26"/>
  <c r="M11" i="26"/>
  <c r="N11" i="26"/>
  <c r="O11" i="26"/>
  <c r="P11" i="26"/>
  <c r="R11" i="26"/>
  <c r="S11" i="26"/>
  <c r="T11" i="26"/>
  <c r="U11" i="26"/>
  <c r="V11" i="26"/>
  <c r="W11" i="26"/>
  <c r="Y11" i="26"/>
  <c r="Z11" i="26"/>
  <c r="AA11" i="26"/>
  <c r="AB11" i="26"/>
  <c r="AC11" i="26"/>
  <c r="AD11" i="26"/>
  <c r="AE11" i="26"/>
  <c r="AF11" i="26"/>
  <c r="AG11" i="26"/>
  <c r="AI11" i="26"/>
  <c r="AJ11" i="26"/>
  <c r="AM11" i="26"/>
  <c r="AO11" i="26"/>
  <c r="AP11" i="26"/>
  <c r="AS11" i="26"/>
  <c r="BA11" i="26"/>
  <c r="BB11" i="26"/>
  <c r="BC11" i="26"/>
  <c r="A12" i="26"/>
  <c r="B12" i="26"/>
  <c r="C12" i="26"/>
  <c r="D12" i="26"/>
  <c r="E12" i="26"/>
  <c r="F12" i="26"/>
  <c r="G12" i="26"/>
  <c r="I12" i="26"/>
  <c r="J12" i="26"/>
  <c r="K12" i="26"/>
  <c r="L12" i="26"/>
  <c r="M12" i="26"/>
  <c r="N12" i="26"/>
  <c r="O12" i="26"/>
  <c r="P12" i="26"/>
  <c r="R12" i="26"/>
  <c r="S12" i="26"/>
  <c r="T12" i="26"/>
  <c r="U12" i="26"/>
  <c r="V12" i="26"/>
  <c r="W12" i="26"/>
  <c r="Y12" i="26"/>
  <c r="Z12" i="26"/>
  <c r="AA12" i="26"/>
  <c r="AB12" i="26"/>
  <c r="AC12" i="26"/>
  <c r="AD12" i="26"/>
  <c r="AE12" i="26"/>
  <c r="AF12" i="26"/>
  <c r="AG12" i="26"/>
  <c r="AI12" i="26"/>
  <c r="AJ12" i="26"/>
  <c r="AM12" i="26"/>
  <c r="AO12" i="26"/>
  <c r="AP12" i="26"/>
  <c r="AS12" i="26"/>
  <c r="BA12" i="26"/>
  <c r="BB12" i="26"/>
  <c r="BC12" i="26"/>
  <c r="A13" i="26"/>
  <c r="B13" i="26"/>
  <c r="C13" i="26"/>
  <c r="D13" i="26"/>
  <c r="E13" i="26"/>
  <c r="F13" i="26"/>
  <c r="G13" i="26"/>
  <c r="I13" i="26"/>
  <c r="J13" i="26"/>
  <c r="K13" i="26"/>
  <c r="L13" i="26"/>
  <c r="M13" i="26"/>
  <c r="N13" i="26"/>
  <c r="O13" i="26"/>
  <c r="P13" i="26"/>
  <c r="R13" i="26"/>
  <c r="S13" i="26"/>
  <c r="T13" i="26"/>
  <c r="U13" i="26"/>
  <c r="V13" i="26"/>
  <c r="W13" i="26"/>
  <c r="Y13" i="26"/>
  <c r="Z13" i="26"/>
  <c r="AA13" i="26"/>
  <c r="AB13" i="26"/>
  <c r="AC13" i="26"/>
  <c r="AD13" i="26"/>
  <c r="AE13" i="26"/>
  <c r="AF13" i="26"/>
  <c r="AG13" i="26"/>
  <c r="AI13" i="26"/>
  <c r="AJ13" i="26"/>
  <c r="AM13" i="26"/>
  <c r="AO13" i="26"/>
  <c r="AP13" i="26"/>
  <c r="AS13" i="26"/>
  <c r="BA13" i="26"/>
  <c r="BB13" i="26"/>
  <c r="BC13" i="26"/>
  <c r="A14" i="26"/>
  <c r="B14" i="26"/>
  <c r="C14" i="26"/>
  <c r="D14" i="26"/>
  <c r="E14" i="26"/>
  <c r="F14" i="26"/>
  <c r="G14" i="26"/>
  <c r="I14" i="26"/>
  <c r="J14" i="26"/>
  <c r="K14" i="26"/>
  <c r="L14" i="26"/>
  <c r="M14" i="26"/>
  <c r="N14" i="26"/>
  <c r="O14" i="26"/>
  <c r="P14" i="26"/>
  <c r="R14" i="26"/>
  <c r="S14" i="26"/>
  <c r="T14" i="26"/>
  <c r="U14" i="26"/>
  <c r="V14" i="26"/>
  <c r="W14" i="26"/>
  <c r="Y14" i="26"/>
  <c r="Z14" i="26"/>
  <c r="AA14" i="26"/>
  <c r="AB14" i="26"/>
  <c r="AC14" i="26"/>
  <c r="AD14" i="26"/>
  <c r="AE14" i="26"/>
  <c r="AF14" i="26"/>
  <c r="AG14" i="26"/>
  <c r="AI14" i="26"/>
  <c r="AJ14" i="26"/>
  <c r="AM14" i="26"/>
  <c r="AO14" i="26"/>
  <c r="AP14" i="26"/>
  <c r="AS14" i="26"/>
  <c r="BA14" i="26"/>
  <c r="BB14" i="26"/>
  <c r="BC14" i="26"/>
  <c r="A15" i="26"/>
  <c r="B15" i="26"/>
  <c r="C15" i="26"/>
  <c r="D15" i="26"/>
  <c r="E15" i="26"/>
  <c r="F15" i="26"/>
  <c r="G15" i="26"/>
  <c r="I15" i="26"/>
  <c r="J15" i="26"/>
  <c r="K15" i="26"/>
  <c r="L15" i="26"/>
  <c r="M15" i="26"/>
  <c r="N15" i="26"/>
  <c r="O15" i="26"/>
  <c r="P15" i="26"/>
  <c r="R15" i="26"/>
  <c r="S15" i="26"/>
  <c r="T15" i="26"/>
  <c r="U15" i="26"/>
  <c r="V15" i="26"/>
  <c r="W15" i="26"/>
  <c r="Y15" i="26"/>
  <c r="Z15" i="26"/>
  <c r="AA15" i="26"/>
  <c r="AB15" i="26"/>
  <c r="AC15" i="26"/>
  <c r="AD15" i="26"/>
  <c r="AE15" i="26"/>
  <c r="AF15" i="26"/>
  <c r="AG15" i="26"/>
  <c r="AI15" i="26"/>
  <c r="AJ15" i="26"/>
  <c r="AM15" i="26"/>
  <c r="AO15" i="26"/>
  <c r="AP15" i="26"/>
  <c r="AS15" i="26"/>
  <c r="BA15" i="26"/>
  <c r="BB15" i="26"/>
  <c r="BC15" i="26"/>
  <c r="A16" i="26"/>
  <c r="B16" i="26"/>
  <c r="C16" i="26"/>
  <c r="D16" i="26"/>
  <c r="E16" i="26"/>
  <c r="F16" i="26"/>
  <c r="G16" i="26"/>
  <c r="I16" i="26"/>
  <c r="J16" i="26"/>
  <c r="K16" i="26"/>
  <c r="L16" i="26"/>
  <c r="M16" i="26"/>
  <c r="N16" i="26"/>
  <c r="O16" i="26"/>
  <c r="P16" i="26"/>
  <c r="R16" i="26"/>
  <c r="S16" i="26"/>
  <c r="T16" i="26"/>
  <c r="U16" i="26"/>
  <c r="V16" i="26"/>
  <c r="W16" i="26"/>
  <c r="Y16" i="26"/>
  <c r="Z16" i="26"/>
  <c r="AA16" i="26"/>
  <c r="AB16" i="26"/>
  <c r="AC16" i="26"/>
  <c r="AD16" i="26"/>
  <c r="AE16" i="26"/>
  <c r="AF16" i="26"/>
  <c r="AG16" i="26"/>
  <c r="AI16" i="26"/>
  <c r="AJ16" i="26"/>
  <c r="AM16" i="26"/>
  <c r="AO16" i="26"/>
  <c r="AP16" i="26"/>
  <c r="AS16" i="26"/>
  <c r="BA16" i="26"/>
  <c r="BB16" i="26"/>
  <c r="BC16" i="26"/>
  <c r="A17" i="26"/>
  <c r="B17" i="26"/>
  <c r="C17" i="26"/>
  <c r="D17" i="26"/>
  <c r="E17" i="26"/>
  <c r="F17" i="26"/>
  <c r="G17" i="26"/>
  <c r="I17" i="26"/>
  <c r="J17" i="26"/>
  <c r="K17" i="26"/>
  <c r="L17" i="26"/>
  <c r="M17" i="26"/>
  <c r="N17" i="26"/>
  <c r="O17" i="26"/>
  <c r="P17" i="26"/>
  <c r="R17" i="26"/>
  <c r="S17" i="26"/>
  <c r="T17" i="26"/>
  <c r="U17" i="26"/>
  <c r="V17" i="26"/>
  <c r="W17" i="26"/>
  <c r="Y17" i="26"/>
  <c r="Z17" i="26"/>
  <c r="AA17" i="26"/>
  <c r="AB17" i="26"/>
  <c r="AC17" i="26"/>
  <c r="AD17" i="26"/>
  <c r="AE17" i="26"/>
  <c r="AF17" i="26"/>
  <c r="AG17" i="26"/>
  <c r="AI17" i="26"/>
  <c r="AJ17" i="26"/>
  <c r="AM17" i="26"/>
  <c r="AO17" i="26"/>
  <c r="AP17" i="26"/>
  <c r="AS17" i="26"/>
  <c r="BA17" i="26"/>
  <c r="BB17" i="26"/>
  <c r="BC17" i="26"/>
  <c r="A18" i="26"/>
  <c r="B18" i="26"/>
  <c r="C18" i="26"/>
  <c r="D18" i="26"/>
  <c r="E18" i="26"/>
  <c r="F18" i="26"/>
  <c r="G18" i="26"/>
  <c r="I18" i="26"/>
  <c r="J18" i="26"/>
  <c r="K18" i="26"/>
  <c r="L18" i="26"/>
  <c r="M18" i="26"/>
  <c r="N18" i="26"/>
  <c r="O18" i="26"/>
  <c r="P18" i="26"/>
  <c r="R18" i="26"/>
  <c r="S18" i="26"/>
  <c r="T18" i="26"/>
  <c r="U18" i="26"/>
  <c r="V18" i="26"/>
  <c r="W18" i="26"/>
  <c r="Y18" i="26"/>
  <c r="Z18" i="26"/>
  <c r="AA18" i="26"/>
  <c r="AB18" i="26"/>
  <c r="AC18" i="26"/>
  <c r="AD18" i="26"/>
  <c r="AE18" i="26"/>
  <c r="AF18" i="26"/>
  <c r="AG18" i="26"/>
  <c r="AI18" i="26"/>
  <c r="AJ18" i="26"/>
  <c r="AM18" i="26"/>
  <c r="AO18" i="26"/>
  <c r="AP18" i="26"/>
  <c r="AS18" i="26"/>
  <c r="BA18" i="26"/>
  <c r="BB18" i="26"/>
  <c r="BC18" i="26"/>
  <c r="A19" i="26"/>
  <c r="B19" i="26"/>
  <c r="C19" i="26"/>
  <c r="D19" i="26"/>
  <c r="E19" i="26"/>
  <c r="F19" i="26"/>
  <c r="G19" i="26"/>
  <c r="I19" i="26"/>
  <c r="J19" i="26"/>
  <c r="K19" i="26"/>
  <c r="L19" i="26"/>
  <c r="M19" i="26"/>
  <c r="N19" i="26"/>
  <c r="O19" i="26"/>
  <c r="P19" i="26"/>
  <c r="R19" i="26"/>
  <c r="S19" i="26"/>
  <c r="T19" i="26"/>
  <c r="U19" i="26"/>
  <c r="V19" i="26"/>
  <c r="W19" i="26"/>
  <c r="Y19" i="26"/>
  <c r="Z19" i="26"/>
  <c r="AA19" i="26"/>
  <c r="AB19" i="26"/>
  <c r="AC19" i="26"/>
  <c r="AD19" i="26"/>
  <c r="AE19" i="26"/>
  <c r="AF19" i="26"/>
  <c r="AG19" i="26"/>
  <c r="AI19" i="26"/>
  <c r="AJ19" i="26"/>
  <c r="AM19" i="26"/>
  <c r="AO19" i="26"/>
  <c r="AP19" i="26"/>
  <c r="AS19" i="26"/>
  <c r="BA19" i="26"/>
  <c r="BB19" i="26"/>
  <c r="BC19" i="26"/>
  <c r="A20" i="26"/>
  <c r="B20" i="26"/>
  <c r="C20" i="26"/>
  <c r="D20" i="26"/>
  <c r="E20" i="26"/>
  <c r="F20" i="26"/>
  <c r="G20" i="26"/>
  <c r="I20" i="26"/>
  <c r="J20" i="26"/>
  <c r="K20" i="26"/>
  <c r="L20" i="26"/>
  <c r="M20" i="26"/>
  <c r="N20" i="26"/>
  <c r="O20" i="26"/>
  <c r="P20" i="26"/>
  <c r="R20" i="26"/>
  <c r="S20" i="26"/>
  <c r="T20" i="26"/>
  <c r="U20" i="26"/>
  <c r="V20" i="26"/>
  <c r="W20" i="26"/>
  <c r="Y20" i="26"/>
  <c r="Z20" i="26"/>
  <c r="AA20" i="26"/>
  <c r="AB20" i="26"/>
  <c r="AC20" i="26"/>
  <c r="AD20" i="26"/>
  <c r="AE20" i="26"/>
  <c r="AF20" i="26"/>
  <c r="AG20" i="26"/>
  <c r="AI20" i="26"/>
  <c r="AJ20" i="26"/>
  <c r="AM20" i="26"/>
  <c r="AO20" i="26"/>
  <c r="AP20" i="26"/>
  <c r="AS20" i="26"/>
  <c r="BA20" i="26"/>
  <c r="BB20" i="26"/>
  <c r="BC20" i="26"/>
  <c r="A21" i="26"/>
  <c r="B21" i="26"/>
  <c r="C21" i="26"/>
  <c r="D21" i="26"/>
  <c r="E21" i="26"/>
  <c r="F21" i="26"/>
  <c r="G21" i="26"/>
  <c r="I21" i="26"/>
  <c r="J21" i="26"/>
  <c r="K21" i="26"/>
  <c r="L21" i="26"/>
  <c r="M21" i="26"/>
  <c r="N21" i="26"/>
  <c r="O21" i="26"/>
  <c r="P21" i="26"/>
  <c r="R21" i="26"/>
  <c r="S21" i="26"/>
  <c r="T21" i="26"/>
  <c r="U21" i="26"/>
  <c r="V21" i="26"/>
  <c r="W21" i="26"/>
  <c r="Y21" i="26"/>
  <c r="Z21" i="26"/>
  <c r="AA21" i="26"/>
  <c r="AB21" i="26"/>
  <c r="AC21" i="26"/>
  <c r="AD21" i="26"/>
  <c r="AE21" i="26"/>
  <c r="AF21" i="26"/>
  <c r="AG21" i="26"/>
  <c r="AI21" i="26"/>
  <c r="AJ21" i="26"/>
  <c r="AM21" i="26"/>
  <c r="AO21" i="26"/>
  <c r="AP21" i="26"/>
  <c r="AS21" i="26"/>
  <c r="BA21" i="26"/>
  <c r="BB21" i="26"/>
  <c r="BC21" i="26"/>
  <c r="A22" i="26"/>
  <c r="B22" i="26"/>
  <c r="C22" i="26"/>
  <c r="D22" i="26"/>
  <c r="E22" i="26"/>
  <c r="F22" i="26"/>
  <c r="G22" i="26"/>
  <c r="I22" i="26"/>
  <c r="J22" i="26"/>
  <c r="K22" i="26"/>
  <c r="L22" i="26"/>
  <c r="M22" i="26"/>
  <c r="N22" i="26"/>
  <c r="O22" i="26"/>
  <c r="P22" i="26"/>
  <c r="R22" i="26"/>
  <c r="S22" i="26"/>
  <c r="T22" i="26"/>
  <c r="U22" i="26"/>
  <c r="V22" i="26"/>
  <c r="W22" i="26"/>
  <c r="Y22" i="26"/>
  <c r="Z22" i="26"/>
  <c r="AA22" i="26"/>
  <c r="AB22" i="26"/>
  <c r="AC22" i="26"/>
  <c r="AD22" i="26"/>
  <c r="AE22" i="26"/>
  <c r="AF22" i="26"/>
  <c r="AG22" i="26"/>
  <c r="AI22" i="26"/>
  <c r="AJ22" i="26"/>
  <c r="AM22" i="26"/>
  <c r="AO22" i="26"/>
  <c r="AP22" i="26"/>
  <c r="AS22" i="26"/>
  <c r="BA22" i="26"/>
  <c r="BB22" i="26"/>
  <c r="BC22" i="26"/>
  <c r="A23" i="26"/>
  <c r="B23" i="26"/>
  <c r="C23" i="26"/>
  <c r="D23" i="26"/>
  <c r="E23" i="26"/>
  <c r="F23" i="26"/>
  <c r="G23" i="26"/>
  <c r="I23" i="26"/>
  <c r="J23" i="26"/>
  <c r="K23" i="26"/>
  <c r="L23" i="26"/>
  <c r="M23" i="26"/>
  <c r="N23" i="26"/>
  <c r="O23" i="26"/>
  <c r="P23" i="26"/>
  <c r="R23" i="26"/>
  <c r="S23" i="26"/>
  <c r="T23" i="26"/>
  <c r="U23" i="26"/>
  <c r="V23" i="26"/>
  <c r="W23" i="26"/>
  <c r="Y23" i="26"/>
  <c r="Z23" i="26"/>
  <c r="AA23" i="26"/>
  <c r="AB23" i="26"/>
  <c r="AC23" i="26"/>
  <c r="AD23" i="26"/>
  <c r="AE23" i="26"/>
  <c r="AF23" i="26"/>
  <c r="AG23" i="26"/>
  <c r="AI23" i="26"/>
  <c r="AJ23" i="26"/>
  <c r="AM23" i="26"/>
  <c r="AO23" i="26"/>
  <c r="AP23" i="26"/>
  <c r="AS23" i="26"/>
  <c r="BA23" i="26"/>
  <c r="BB23" i="26"/>
  <c r="BC23" i="26"/>
  <c r="A24" i="26"/>
  <c r="B24" i="26"/>
  <c r="C24" i="26"/>
  <c r="D24" i="26"/>
  <c r="E24" i="26"/>
  <c r="F24" i="26"/>
  <c r="G24" i="26"/>
  <c r="I24" i="26"/>
  <c r="J24" i="26"/>
  <c r="K24" i="26"/>
  <c r="L24" i="26"/>
  <c r="M24" i="26"/>
  <c r="N24" i="26"/>
  <c r="O24" i="26"/>
  <c r="P24" i="26"/>
  <c r="R24" i="26"/>
  <c r="S24" i="26"/>
  <c r="T24" i="26"/>
  <c r="U24" i="26"/>
  <c r="V24" i="26"/>
  <c r="W24" i="26"/>
  <c r="Y24" i="26"/>
  <c r="Z24" i="26"/>
  <c r="AA24" i="26"/>
  <c r="AB24" i="26"/>
  <c r="AC24" i="26"/>
  <c r="AD24" i="26"/>
  <c r="AE24" i="26"/>
  <c r="AF24" i="26"/>
  <c r="AG24" i="26"/>
  <c r="AI24" i="26"/>
  <c r="AJ24" i="26"/>
  <c r="AM24" i="26"/>
  <c r="AO24" i="26"/>
  <c r="AP24" i="26"/>
  <c r="AS24" i="26"/>
  <c r="BA24" i="26"/>
  <c r="BB24" i="26"/>
  <c r="BC24" i="26"/>
  <c r="A25" i="26"/>
  <c r="B25" i="26"/>
  <c r="C25" i="26"/>
  <c r="D25" i="26"/>
  <c r="E25" i="26"/>
  <c r="F25" i="26"/>
  <c r="G25" i="26"/>
  <c r="I25" i="26"/>
  <c r="J25" i="26"/>
  <c r="K25" i="26"/>
  <c r="L25" i="26"/>
  <c r="M25" i="26"/>
  <c r="N25" i="26"/>
  <c r="O25" i="26"/>
  <c r="P25" i="26"/>
  <c r="R25" i="26"/>
  <c r="S25" i="26"/>
  <c r="T25" i="26"/>
  <c r="U25" i="26"/>
  <c r="V25" i="26"/>
  <c r="W25" i="26"/>
  <c r="Y25" i="26"/>
  <c r="Z25" i="26"/>
  <c r="AA25" i="26"/>
  <c r="AB25" i="26"/>
  <c r="AC25" i="26"/>
  <c r="AD25" i="26"/>
  <c r="AE25" i="26"/>
  <c r="AF25" i="26"/>
  <c r="AG25" i="26"/>
  <c r="AI25" i="26"/>
  <c r="AJ25" i="26"/>
  <c r="AM25" i="26"/>
  <c r="AO25" i="26"/>
  <c r="AP25" i="26"/>
  <c r="AS25" i="26"/>
  <c r="BA25" i="26"/>
  <c r="BB25" i="26"/>
  <c r="BC25" i="26"/>
  <c r="A26" i="26"/>
  <c r="B26" i="26"/>
  <c r="C26" i="26"/>
  <c r="D26" i="26"/>
  <c r="E26" i="26"/>
  <c r="F26" i="26"/>
  <c r="G26" i="26"/>
  <c r="I26" i="26"/>
  <c r="J26" i="26"/>
  <c r="K26" i="26"/>
  <c r="L26" i="26"/>
  <c r="M26" i="26"/>
  <c r="N26" i="26"/>
  <c r="O26" i="26"/>
  <c r="P26" i="26"/>
  <c r="R26" i="26"/>
  <c r="S26" i="26"/>
  <c r="T26" i="26"/>
  <c r="U26" i="26"/>
  <c r="V26" i="26"/>
  <c r="W26" i="26"/>
  <c r="Y26" i="26"/>
  <c r="Z26" i="26"/>
  <c r="AA26" i="26"/>
  <c r="AB26" i="26"/>
  <c r="AC26" i="26"/>
  <c r="AD26" i="26"/>
  <c r="AE26" i="26"/>
  <c r="AF26" i="26"/>
  <c r="AG26" i="26"/>
  <c r="AI26" i="26"/>
  <c r="AJ26" i="26"/>
  <c r="AM26" i="26"/>
  <c r="AO26" i="26"/>
  <c r="AP26" i="26"/>
  <c r="AS26" i="26"/>
  <c r="BA26" i="26"/>
  <c r="BB26" i="26"/>
  <c r="BC26" i="26"/>
  <c r="A27" i="26"/>
  <c r="B27" i="26"/>
  <c r="C27" i="26"/>
  <c r="D27" i="26"/>
  <c r="E27" i="26"/>
  <c r="F27" i="26"/>
  <c r="G27" i="26"/>
  <c r="I27" i="26"/>
  <c r="J27" i="26"/>
  <c r="K27" i="26"/>
  <c r="L27" i="26"/>
  <c r="M27" i="26"/>
  <c r="N27" i="26"/>
  <c r="O27" i="26"/>
  <c r="P27" i="26"/>
  <c r="R27" i="26"/>
  <c r="S27" i="26"/>
  <c r="T27" i="26"/>
  <c r="U27" i="26"/>
  <c r="V27" i="26"/>
  <c r="W27" i="26"/>
  <c r="AJ27" i="26"/>
  <c r="AM27" i="26"/>
  <c r="AO27" i="26"/>
  <c r="AP27" i="26"/>
  <c r="AS27" i="26"/>
  <c r="BA27" i="26"/>
  <c r="BB27" i="26"/>
  <c r="BC27" i="26"/>
  <c r="A28" i="26"/>
  <c r="B28" i="26"/>
  <c r="C28" i="26"/>
  <c r="D28" i="26"/>
  <c r="E28" i="26"/>
  <c r="F28" i="26"/>
  <c r="G28" i="26"/>
  <c r="I28" i="26"/>
  <c r="J28" i="26"/>
  <c r="K28" i="26"/>
  <c r="L28" i="26"/>
  <c r="M28" i="26"/>
  <c r="N28" i="26"/>
  <c r="O28" i="26"/>
  <c r="P28" i="26"/>
  <c r="R28" i="26"/>
  <c r="S28" i="26"/>
  <c r="T28" i="26"/>
  <c r="U28" i="26"/>
  <c r="V28" i="26"/>
  <c r="W28" i="26"/>
  <c r="BA28" i="26"/>
  <c r="BB28" i="26"/>
  <c r="BC28" i="26"/>
  <c r="A29" i="26"/>
  <c r="B29" i="26"/>
  <c r="C29" i="26"/>
  <c r="D29" i="26"/>
  <c r="E29" i="26"/>
  <c r="F29" i="26"/>
  <c r="G29" i="26"/>
  <c r="I29" i="26"/>
  <c r="J29" i="26"/>
  <c r="K29" i="26"/>
  <c r="L29" i="26"/>
  <c r="M29" i="26"/>
  <c r="N29" i="26"/>
  <c r="O29" i="26"/>
  <c r="P29" i="26"/>
  <c r="R29" i="26"/>
  <c r="S29" i="26"/>
  <c r="T29" i="26"/>
  <c r="U29" i="26"/>
  <c r="V29" i="26"/>
  <c r="W29" i="26"/>
  <c r="BA29" i="26"/>
  <c r="BB29" i="26"/>
  <c r="BC29" i="26"/>
  <c r="A30" i="26"/>
  <c r="B30" i="26"/>
  <c r="C30" i="26"/>
  <c r="D30" i="26"/>
  <c r="E30" i="26"/>
  <c r="F30" i="26"/>
  <c r="G30" i="26"/>
  <c r="I30" i="26"/>
  <c r="J30" i="26"/>
  <c r="K30" i="26"/>
  <c r="L30" i="26"/>
  <c r="M30" i="26"/>
  <c r="N30" i="26"/>
  <c r="O30" i="26"/>
  <c r="P30" i="26"/>
  <c r="R30" i="26"/>
  <c r="S30" i="26"/>
  <c r="T30" i="26"/>
  <c r="U30" i="26"/>
  <c r="V30" i="26"/>
  <c r="W30" i="26"/>
  <c r="BA30" i="26"/>
  <c r="BB30" i="26"/>
  <c r="BC30" i="26"/>
  <c r="A31" i="26"/>
  <c r="B31" i="26"/>
  <c r="C31" i="26"/>
  <c r="D31" i="26"/>
  <c r="E31" i="26"/>
  <c r="F31" i="26"/>
  <c r="G31" i="26"/>
  <c r="I31" i="26"/>
  <c r="J31" i="26"/>
  <c r="K31" i="26"/>
  <c r="L31" i="26"/>
  <c r="M31" i="26"/>
  <c r="N31" i="26"/>
  <c r="O31" i="26"/>
  <c r="P31" i="26"/>
  <c r="R31" i="26"/>
  <c r="S31" i="26"/>
  <c r="T31" i="26"/>
  <c r="U31" i="26"/>
  <c r="V31" i="26"/>
  <c r="W31" i="26"/>
  <c r="BA31" i="26"/>
  <c r="BB31" i="26"/>
  <c r="BC31" i="26"/>
  <c r="A32" i="26"/>
  <c r="B32" i="26"/>
  <c r="C32" i="26"/>
  <c r="D32" i="26"/>
  <c r="E32" i="26"/>
  <c r="F32" i="26"/>
  <c r="G32" i="26"/>
  <c r="I32" i="26"/>
  <c r="J32" i="26"/>
  <c r="K32" i="26"/>
  <c r="L32" i="26"/>
  <c r="M32" i="26"/>
  <c r="N32" i="26"/>
  <c r="O32" i="26"/>
  <c r="P32" i="26"/>
  <c r="R32" i="26"/>
  <c r="S32" i="26"/>
  <c r="T32" i="26"/>
  <c r="U32" i="26"/>
  <c r="V32" i="26"/>
  <c r="W32" i="26"/>
  <c r="BA32" i="26"/>
  <c r="BB32" i="26"/>
  <c r="BC32" i="26"/>
  <c r="A33" i="26"/>
  <c r="B33" i="26"/>
  <c r="C33" i="26"/>
  <c r="D33" i="26"/>
  <c r="E33" i="26"/>
  <c r="F33" i="26"/>
  <c r="G33" i="26"/>
  <c r="I33" i="26"/>
  <c r="J33" i="26"/>
  <c r="K33" i="26"/>
  <c r="L33" i="26"/>
  <c r="M33" i="26"/>
  <c r="N33" i="26"/>
  <c r="O33" i="26"/>
  <c r="P33" i="26"/>
  <c r="R33" i="26"/>
  <c r="S33" i="26"/>
  <c r="T33" i="26"/>
  <c r="U33" i="26"/>
  <c r="V33" i="26"/>
  <c r="W33" i="26"/>
  <c r="BA33" i="26"/>
  <c r="BB33" i="26"/>
  <c r="BC33" i="26"/>
  <c r="A34" i="26"/>
  <c r="B34" i="26"/>
  <c r="C34" i="26"/>
  <c r="D34" i="26"/>
  <c r="E34" i="26"/>
  <c r="F34" i="26"/>
  <c r="G34" i="26"/>
  <c r="I34" i="26"/>
  <c r="J34" i="26"/>
  <c r="K34" i="26"/>
  <c r="L34" i="26"/>
  <c r="M34" i="26"/>
  <c r="N34" i="26"/>
  <c r="O34" i="26"/>
  <c r="P34" i="26"/>
  <c r="R34" i="26"/>
  <c r="S34" i="26"/>
  <c r="T34" i="26"/>
  <c r="U34" i="26"/>
  <c r="V34" i="26"/>
  <c r="W34" i="26"/>
  <c r="BA34" i="26"/>
  <c r="BB34" i="26"/>
  <c r="BC34" i="26"/>
  <c r="A35" i="26"/>
  <c r="B35" i="26"/>
  <c r="C35" i="26"/>
  <c r="D35" i="26"/>
  <c r="E35" i="26"/>
  <c r="F35" i="26"/>
  <c r="G35" i="26"/>
  <c r="I35" i="26"/>
  <c r="J35" i="26"/>
  <c r="K35" i="26"/>
  <c r="L35" i="26"/>
  <c r="M35" i="26"/>
  <c r="N35" i="26"/>
  <c r="O35" i="26"/>
  <c r="P35" i="26"/>
  <c r="R35" i="26"/>
  <c r="S35" i="26"/>
  <c r="T35" i="26"/>
  <c r="U35" i="26"/>
  <c r="V35" i="26"/>
  <c r="W35" i="26"/>
  <c r="BA35" i="26"/>
  <c r="BB35" i="26"/>
  <c r="BC35" i="26"/>
  <c r="A36" i="26"/>
  <c r="B36" i="26"/>
  <c r="C36" i="26"/>
  <c r="D36" i="26"/>
  <c r="E36" i="26"/>
  <c r="F36" i="26"/>
  <c r="G36" i="26"/>
  <c r="I36" i="26"/>
  <c r="J36" i="26"/>
  <c r="K36" i="26"/>
  <c r="L36" i="26"/>
  <c r="M36" i="26"/>
  <c r="N36" i="26"/>
  <c r="O36" i="26"/>
  <c r="P36" i="26"/>
  <c r="R36" i="26"/>
  <c r="S36" i="26"/>
  <c r="T36" i="26"/>
  <c r="U36" i="26"/>
  <c r="V36" i="26"/>
  <c r="W36" i="26"/>
  <c r="BA36" i="26"/>
  <c r="BB36" i="26"/>
  <c r="BC36" i="26"/>
  <c r="A37" i="26"/>
  <c r="B37" i="26"/>
  <c r="C37" i="26"/>
  <c r="D37" i="26"/>
  <c r="E37" i="26"/>
  <c r="F37" i="26"/>
  <c r="G37" i="26"/>
  <c r="I37" i="26"/>
  <c r="J37" i="26"/>
  <c r="K37" i="26"/>
  <c r="L37" i="26"/>
  <c r="M37" i="26"/>
  <c r="N37" i="26"/>
  <c r="O37" i="26"/>
  <c r="P37" i="26"/>
  <c r="R37" i="26"/>
  <c r="S37" i="26"/>
  <c r="T37" i="26"/>
  <c r="U37" i="26"/>
  <c r="V37" i="26"/>
  <c r="W37" i="26"/>
  <c r="BA37" i="26"/>
  <c r="BB37" i="26"/>
  <c r="BC37" i="26"/>
</calcChain>
</file>

<file path=xl/sharedStrings.xml><?xml version="1.0" encoding="utf-8"?>
<sst xmlns="http://schemas.openxmlformats.org/spreadsheetml/2006/main" count="1820" uniqueCount="744">
  <si>
    <t>(b) Model Th/U ratio iteratively calculated from the radiogenic 208Pb/206Pb ratio and 206Pb/238U age.</t>
  </si>
  <si>
    <t>Decay Constants and Natural Ratios</t>
  </si>
  <si>
    <t>238U/235U</t>
  </si>
  <si>
    <t>230Th-correction parameters</t>
  </si>
  <si>
    <t>t68</t>
  </si>
  <si>
    <t>t ("t68", "t75", "off")</t>
  </si>
  <si>
    <t>No 230Th Correction - 207Pb*/206Pb* Age and Error Calculations</t>
  </si>
  <si>
    <t>230Th Corrected - 207Pb*/206Pb* Age and Error Calculations</t>
  </si>
  <si>
    <t>75age correction</t>
  </si>
  <si>
    <t>68age correction with Th/U Iteration</t>
  </si>
  <si>
    <t>230Th Disequilibrium Corrections</t>
  </si>
  <si>
    <t>[230Th/238U]magma</t>
  </si>
  <si>
    <r>
      <t>Sample &amp; Measurement Data:</t>
    </r>
    <r>
      <rPr>
        <i/>
        <sz val="14"/>
        <rFont val="Arial"/>
        <family val="2"/>
      </rPr>
      <t xml:space="preserve"> grey cells from "</t>
    </r>
    <r>
      <rPr>
        <b/>
        <sz val="14"/>
        <rFont val="Arial"/>
        <family val="2"/>
      </rPr>
      <t>Raw Data Input"</t>
    </r>
  </si>
  <si>
    <t>IGSN Parent</t>
  </si>
  <si>
    <t>IGSN Daughter</t>
  </si>
  <si>
    <t>BSU000100</t>
  </si>
  <si>
    <t>Schoene et al. decay constants - 95% conf. int.</t>
  </si>
  <si>
    <r>
      <t>206</t>
    </r>
    <r>
      <rPr>
        <b/>
        <sz val="10"/>
        <rFont val="Arial"/>
        <family val="2"/>
      </rPr>
      <t>Pb/</t>
    </r>
    <r>
      <rPr>
        <b/>
        <vertAlign val="superscript"/>
        <sz val="10"/>
        <rFont val="Arial"/>
        <family val="2"/>
      </rPr>
      <t>238</t>
    </r>
    <r>
      <rPr>
        <b/>
        <sz val="10"/>
        <rFont val="Arial"/>
        <family val="2"/>
      </rPr>
      <t>U ± random (+tracer) [+</t>
    </r>
    <r>
      <rPr>
        <b/>
        <sz val="10"/>
        <rFont val="Symbol"/>
        <charset val="2"/>
      </rPr>
      <t>l</t>
    </r>
    <r>
      <rPr>
        <b/>
        <sz val="10"/>
        <rFont val="Arial"/>
        <family val="2"/>
      </rPr>
      <t>]</t>
    </r>
  </si>
  <si>
    <r>
      <t>207</t>
    </r>
    <r>
      <rPr>
        <b/>
        <sz val="10"/>
        <rFont val="Arial"/>
        <family val="2"/>
      </rPr>
      <t>Pb/</t>
    </r>
    <r>
      <rPr>
        <b/>
        <vertAlign val="superscript"/>
        <sz val="10"/>
        <rFont val="Arial"/>
        <family val="2"/>
      </rPr>
      <t>235</t>
    </r>
    <r>
      <rPr>
        <b/>
        <sz val="10"/>
        <rFont val="Arial"/>
        <family val="2"/>
      </rPr>
      <t>U ± random (+tracer) [+</t>
    </r>
    <r>
      <rPr>
        <b/>
        <sz val="10"/>
        <rFont val="Symbol"/>
        <charset val="2"/>
      </rPr>
      <t>l</t>
    </r>
    <r>
      <rPr>
        <b/>
        <sz val="10"/>
        <rFont val="Arial"/>
        <family val="2"/>
      </rPr>
      <t>]</t>
    </r>
  </si>
  <si>
    <r>
      <t>207</t>
    </r>
    <r>
      <rPr>
        <b/>
        <sz val="10"/>
        <rFont val="Arial"/>
        <family val="2"/>
      </rPr>
      <t>Pb/</t>
    </r>
    <r>
      <rPr>
        <b/>
        <vertAlign val="superscript"/>
        <sz val="10"/>
        <rFont val="Arial"/>
        <family val="2"/>
      </rPr>
      <t>206</t>
    </r>
    <r>
      <rPr>
        <b/>
        <sz val="10"/>
        <rFont val="Arial"/>
        <family val="2"/>
      </rPr>
      <t>Pb ± random [+</t>
    </r>
    <r>
      <rPr>
        <b/>
        <sz val="10"/>
        <rFont val="Symbol"/>
        <charset val="2"/>
      </rPr>
      <t>l</t>
    </r>
    <r>
      <rPr>
        <b/>
        <sz val="10"/>
        <rFont val="Arial"/>
        <family val="2"/>
      </rPr>
      <t>]</t>
    </r>
  </si>
  <si>
    <t>(h) Corrected for fractionation, spike, and blank Pb only.</t>
  </si>
  <si>
    <t>(i) Nominal fraction weights estimated from photomicrographic grain dimensions, adjusted for partial dissolution during chemical abrasion.</t>
  </si>
  <si>
    <t>(j) Nominal U and total Pb concentrations subject to uncertainty in photomicrographic estimation of weight and partial dissolution during chemical abrasion.</t>
  </si>
  <si>
    <t xml:space="preserve">      Excess over blank was assigned to initial common Pb, using the Stacey and Kramers (1975) two-stage Pb isotope evolution model at the nominal sample age.</t>
  </si>
  <si>
    <t>Initial Th232s [mol] (wrt t68)</t>
  </si>
  <si>
    <t>Iter4 Corr. t68</t>
  </si>
  <si>
    <t>Th (ppm) (wrt t68)</t>
  </si>
  <si>
    <t>U (ng)</t>
  </si>
  <si>
    <t>230Th-Disequilibrium-Corrected Radiogenic Isotope Ratios:</t>
  </si>
  <si>
    <t>dR68dc/dR68o</t>
  </si>
  <si>
    <t>dR68dc/dTUz</t>
  </si>
  <si>
    <t>dR68dc/dTUm</t>
  </si>
  <si>
    <t>n =</t>
  </si>
  <si>
    <t xml:space="preserve">(e) Corrected for fractionation, spike, and common Pb; up to 1 pg of common Pb was assumed to be procedural blank: 206Pb/204Pb = 18.042 ± 0.61%; 207Pb/204Pb = 15.537 ± 0.52%; 208Pb/204Pb = 37.686 ± 0.63% (all uncertainties 1-sigma). </t>
  </si>
  <si>
    <t>(a) z1, z2 etc. are labels for single zircon grains or fragments annealed and chemically abraded after Mattinson (2005).</t>
  </si>
  <si>
    <t>(d) Measured ratio corrected for spike and fractionation only. Fractionation estimated at 0.18 +/- 0.03 %/a.m.u. for Daly analyses, based on analysis of NBS-981 and NBS-982.</t>
  </si>
  <si>
    <t>Pb Partitioning</t>
  </si>
  <si>
    <t>Pb204b+c [mol]</t>
  </si>
  <si>
    <t>Pb204b [mol]</t>
  </si>
  <si>
    <t>(f) Errors are 2-sigma, propagated using the algorithms of Schmitz and Schoene (2007).</t>
  </si>
  <si>
    <t>Include?</t>
  </si>
  <si>
    <t>MSWD</t>
  </si>
  <si>
    <t>prob. Fit</t>
  </si>
  <si>
    <r>
      <t>± 2</t>
    </r>
    <r>
      <rPr>
        <b/>
        <sz val="8"/>
        <rFont val="Symbol"/>
        <family val="1"/>
      </rPr>
      <t>s</t>
    </r>
    <r>
      <rPr>
        <b/>
        <sz val="8"/>
        <rFont val="Arial"/>
        <family val="2"/>
      </rPr>
      <t xml:space="preserve"> int.</t>
    </r>
  </si>
  <si>
    <t>Th/U</t>
  </si>
  <si>
    <t>Isotope Ratios</t>
  </si>
  <si>
    <t>Error Calculations</t>
  </si>
  <si>
    <t>MSWD Calculations</t>
  </si>
  <si>
    <t>Fractions</t>
  </si>
  <si>
    <t xml:space="preserve">n = </t>
  </si>
  <si>
    <t>age weighted means and errors</t>
  </si>
  <si>
    <t>Error analysis</t>
  </si>
  <si>
    <t>MSWD =</t>
  </si>
  <si>
    <t>ratio weighted means and errors</t>
  </si>
  <si>
    <t>95% C.I.</t>
  </si>
  <si>
    <t>Jaffey et al.</t>
  </si>
  <si>
    <t>analytical</t>
  </si>
  <si>
    <t>analyt+decay</t>
  </si>
  <si>
    <t>spike calibration</t>
  </si>
  <si>
    <t>analytical + spike</t>
  </si>
  <si>
    <t>Schoene et al.</t>
  </si>
  <si>
    <t>decay constant</t>
  </si>
  <si>
    <t>analyt+spike+decay</t>
  </si>
  <si>
    <t>Weighted Mean Calculations</t>
  </si>
  <si>
    <t>corr. coeff.</t>
  </si>
  <si>
    <r>
      <t>207</t>
    </r>
    <r>
      <rPr>
        <b/>
        <sz val="10"/>
        <rFont val="Arial"/>
        <family val="2"/>
      </rPr>
      <t>Pb/</t>
    </r>
    <r>
      <rPr>
        <b/>
        <vertAlign val="superscript"/>
        <sz val="10"/>
        <rFont val="Arial"/>
        <family val="2"/>
      </rPr>
      <t>206</t>
    </r>
    <r>
      <rPr>
        <b/>
        <sz val="10"/>
        <rFont val="Arial"/>
        <family val="2"/>
      </rPr>
      <t>Pb</t>
    </r>
  </si>
  <si>
    <r>
      <t>207</t>
    </r>
    <r>
      <rPr>
        <b/>
        <sz val="10"/>
        <rFont val="Arial"/>
        <family val="2"/>
      </rPr>
      <t>Pb/</t>
    </r>
    <r>
      <rPr>
        <b/>
        <vertAlign val="superscript"/>
        <sz val="10"/>
        <rFont val="Arial"/>
        <family val="2"/>
      </rPr>
      <t>235</t>
    </r>
    <r>
      <rPr>
        <b/>
        <sz val="10"/>
        <rFont val="Arial"/>
        <family val="2"/>
      </rPr>
      <t>U</t>
    </r>
  </si>
  <si>
    <r>
      <t>206</t>
    </r>
    <r>
      <rPr>
        <b/>
        <sz val="10"/>
        <rFont val="Arial"/>
        <family val="2"/>
      </rPr>
      <t>Pb/</t>
    </r>
    <r>
      <rPr>
        <b/>
        <vertAlign val="superscript"/>
        <sz val="10"/>
        <rFont val="Arial"/>
        <family val="2"/>
      </rPr>
      <t>238</t>
    </r>
    <r>
      <rPr>
        <b/>
        <sz val="10"/>
        <rFont val="Arial"/>
        <family val="2"/>
      </rPr>
      <t>U</t>
    </r>
  </si>
  <si>
    <r>
      <t>c</t>
    </r>
    <r>
      <rPr>
        <b/>
        <vertAlign val="superscript"/>
        <sz val="9"/>
        <rFont val="Arial"/>
        <family val="2"/>
      </rPr>
      <t>2</t>
    </r>
  </si>
  <si>
    <r>
      <t>x/</t>
    </r>
    <r>
      <rPr>
        <b/>
        <sz val="9"/>
        <rFont val="Symbol"/>
        <family val="1"/>
      </rPr>
      <t>s</t>
    </r>
    <r>
      <rPr>
        <b/>
        <vertAlign val="superscript"/>
        <sz val="9"/>
        <rFont val="Arial"/>
        <family val="2"/>
      </rPr>
      <t>2</t>
    </r>
  </si>
  <si>
    <r>
      <t>2</t>
    </r>
    <r>
      <rPr>
        <b/>
        <sz val="9"/>
        <rFont val="Symbol"/>
        <family val="1"/>
      </rPr>
      <t>s</t>
    </r>
    <r>
      <rPr>
        <b/>
        <sz val="9"/>
        <rFont val="Arial"/>
        <family val="2"/>
      </rPr>
      <t xml:space="preserve"> abs</t>
    </r>
  </si>
  <si>
    <r>
      <t>2</t>
    </r>
    <r>
      <rPr>
        <b/>
        <sz val="9"/>
        <rFont val="Symbol"/>
        <family val="1"/>
      </rPr>
      <t>s</t>
    </r>
    <r>
      <rPr>
        <b/>
        <sz val="9"/>
        <rFont val="Arial"/>
        <family val="2"/>
      </rPr>
      <t xml:space="preserve"> %</t>
    </r>
  </si>
  <si>
    <r>
      <t>1/</t>
    </r>
    <r>
      <rPr>
        <b/>
        <sz val="9"/>
        <rFont val="Symbol"/>
        <family val="1"/>
      </rPr>
      <t>s</t>
    </r>
    <r>
      <rPr>
        <b/>
        <vertAlign val="superscript"/>
        <sz val="9"/>
        <rFont val="Arial"/>
        <family val="2"/>
      </rPr>
      <t>2</t>
    </r>
  </si>
  <si>
    <t>RPb25m</t>
  </si>
  <si>
    <t>RPb25t</t>
  </si>
  <si>
    <r>
      <t>s</t>
    </r>
    <r>
      <rPr>
        <b/>
        <sz val="12"/>
        <rFont val="Arial"/>
        <family val="2"/>
      </rPr>
      <t>RPb25m</t>
    </r>
  </si>
  <si>
    <r>
      <t>s</t>
    </r>
    <r>
      <rPr>
        <b/>
        <sz val="12"/>
        <rFont val="Arial"/>
        <family val="2"/>
      </rPr>
      <t>RPb25t</t>
    </r>
  </si>
  <si>
    <t>(j)</t>
  </si>
  <si>
    <t>dPb207r/dR76t</t>
  </si>
  <si>
    <t>dPb207r/dR45t</t>
  </si>
  <si>
    <t>dPb207r/dF</t>
  </si>
  <si>
    <t>dPb207r/dPb206b</t>
  </si>
  <si>
    <t>dPb207r/dR64b</t>
  </si>
  <si>
    <t>dPb207r/dR76c</t>
  </si>
  <si>
    <t>dPb207r/dR64c</t>
  </si>
  <si>
    <t>Pb207r-Pb206r cov</t>
  </si>
  <si>
    <t>dPb207r-6r/dR65m</t>
  </si>
  <si>
    <t>dPb207r-6r/dR46m</t>
  </si>
  <si>
    <t>dPb207r-6r/dR65t</t>
  </si>
  <si>
    <t>dPb207r-6r/dR45t</t>
  </si>
  <si>
    <t>dPb207r-6r/dF</t>
  </si>
  <si>
    <t>dPb207r-6r/dPb206b</t>
  </si>
  <si>
    <t>dPb207r-6r/dR64b</t>
  </si>
  <si>
    <t>dPb207r-6r/dR64c</t>
  </si>
  <si>
    <t>Pb207*Pb206</t>
  </si>
  <si>
    <t>(sigR68/R68)^2</t>
  </si>
  <si>
    <t>207Pb*/206Pb*</t>
  </si>
  <si>
    <t>trialt</t>
  </si>
  <si>
    <t>hight</t>
  </si>
  <si>
    <t>lowt</t>
  </si>
  <si>
    <t>eqn</t>
  </si>
  <si>
    <t>207Pb/206Pb age [y]</t>
  </si>
  <si>
    <t>Barrel number</t>
  </si>
  <si>
    <t>Notes</t>
  </si>
  <si>
    <t>Spike Type (""535","2535")</t>
  </si>
  <si>
    <t>Spike Name</t>
  </si>
  <si>
    <t>235U/205Pb</t>
  </si>
  <si>
    <t>w/o lambda</t>
  </si>
  <si>
    <t>w/ lambda</t>
  </si>
  <si>
    <t>dlambda235/dt</t>
  </si>
  <si>
    <t>dlambda238/dt</t>
  </si>
  <si>
    <t>t76</t>
  </si>
  <si>
    <r>
      <t>s</t>
    </r>
    <r>
      <rPr>
        <b/>
        <sz val="9"/>
        <rFont val="Arial"/>
        <family val="2"/>
      </rPr>
      <t xml:space="preserve"> [R76r]</t>
    </r>
  </si>
  <si>
    <r>
      <t>± 2</t>
    </r>
    <r>
      <rPr>
        <b/>
        <sz val="9"/>
        <rFont val="Symbol"/>
        <family val="1"/>
      </rPr>
      <t>s</t>
    </r>
    <r>
      <rPr>
        <b/>
        <sz val="9"/>
        <rFont val="Arial"/>
        <family val="2"/>
      </rPr>
      <t xml:space="preserve"> [%]</t>
    </r>
  </si>
  <si>
    <r>
      <t>s</t>
    </r>
    <r>
      <rPr>
        <b/>
        <sz val="9"/>
        <rFont val="Arial"/>
        <family val="2"/>
      </rPr>
      <t xml:space="preserve"> [</t>
    </r>
    <r>
      <rPr>
        <b/>
        <sz val="9"/>
        <rFont val="Symbol"/>
        <family val="1"/>
      </rPr>
      <t>l</t>
    </r>
    <r>
      <rPr>
        <b/>
        <sz val="9"/>
        <rFont val="Arial"/>
        <family val="2"/>
      </rPr>
      <t>235]</t>
    </r>
  </si>
  <si>
    <r>
      <t>l</t>
    </r>
    <r>
      <rPr>
        <b/>
        <sz val="9"/>
        <color indexed="12"/>
        <rFont val="Arial"/>
        <family val="2"/>
      </rPr>
      <t>(235) [y</t>
    </r>
    <r>
      <rPr>
        <b/>
        <vertAlign val="superscript"/>
        <sz val="9"/>
        <color indexed="12"/>
        <rFont val="Arial"/>
        <family val="2"/>
      </rPr>
      <t>-1</t>
    </r>
    <r>
      <rPr>
        <b/>
        <sz val="9"/>
        <color indexed="12"/>
        <rFont val="Arial"/>
        <family val="2"/>
      </rPr>
      <t>]</t>
    </r>
  </si>
  <si>
    <r>
      <t>± 2</t>
    </r>
    <r>
      <rPr>
        <b/>
        <sz val="9"/>
        <color indexed="12"/>
        <rFont val="Symbol"/>
        <charset val="2"/>
      </rPr>
      <t>s</t>
    </r>
    <r>
      <rPr>
        <b/>
        <sz val="9"/>
        <color indexed="12"/>
        <rFont val="Arial"/>
        <family val="2"/>
      </rPr>
      <t xml:space="preserve"> [%]</t>
    </r>
  </si>
  <si>
    <r>
      <t>s</t>
    </r>
    <r>
      <rPr>
        <b/>
        <sz val="9"/>
        <rFont val="Arial"/>
        <family val="2"/>
      </rPr>
      <t xml:space="preserve"> [</t>
    </r>
    <r>
      <rPr>
        <b/>
        <sz val="9"/>
        <rFont val="Symbol"/>
        <family val="1"/>
      </rPr>
      <t>l</t>
    </r>
    <r>
      <rPr>
        <b/>
        <sz val="9"/>
        <rFont val="Arial"/>
        <family val="2"/>
      </rPr>
      <t>238]</t>
    </r>
  </si>
  <si>
    <r>
      <t>l</t>
    </r>
    <r>
      <rPr>
        <b/>
        <sz val="9"/>
        <color indexed="12"/>
        <rFont val="Arial"/>
        <family val="2"/>
      </rPr>
      <t>(238) [y</t>
    </r>
    <r>
      <rPr>
        <b/>
        <vertAlign val="superscript"/>
        <sz val="9"/>
        <color indexed="12"/>
        <rFont val="Arial"/>
        <family val="2"/>
      </rPr>
      <t>-1</t>
    </r>
    <r>
      <rPr>
        <b/>
        <sz val="9"/>
        <color indexed="12"/>
        <rFont val="Arial"/>
        <family val="2"/>
      </rPr>
      <t>]</t>
    </r>
  </si>
  <si>
    <r>
      <t>s</t>
    </r>
    <r>
      <rPr>
        <b/>
        <sz val="9"/>
        <rFont val="Arial"/>
        <family val="2"/>
      </rPr>
      <t>R76t=</t>
    </r>
    <r>
      <rPr>
        <b/>
        <sz val="9"/>
        <rFont val="Symbol"/>
        <family val="1"/>
      </rPr>
      <t>s</t>
    </r>
    <r>
      <rPr>
        <b/>
        <sz val="9"/>
        <rFont val="Arial"/>
        <family val="2"/>
      </rPr>
      <t>R76r/(d/d)</t>
    </r>
  </si>
  <si>
    <r>
      <t>s</t>
    </r>
    <r>
      <rPr>
        <b/>
        <sz val="9"/>
        <rFont val="Arial"/>
        <family val="2"/>
      </rPr>
      <t>R76t</t>
    </r>
  </si>
  <si>
    <t>95% c.i.</t>
  </si>
  <si>
    <t>Jaffey et al. decay constants - 95% conf. int.</t>
  </si>
  <si>
    <r>
      <t>Jaffey et al. decay constants - 2</t>
    </r>
    <r>
      <rPr>
        <b/>
        <u/>
        <sz val="10"/>
        <rFont val="Symbol"/>
        <charset val="2"/>
      </rPr>
      <t>s</t>
    </r>
    <r>
      <rPr>
        <b/>
        <u/>
        <sz val="10"/>
        <rFont val="Arial"/>
        <family val="2"/>
      </rPr>
      <t xml:space="preserve"> int.</t>
    </r>
  </si>
  <si>
    <r>
      <t>Schoene et al. decay constants - 2</t>
    </r>
    <r>
      <rPr>
        <b/>
        <u/>
        <sz val="10"/>
        <rFont val="Symbol"/>
        <charset val="2"/>
      </rPr>
      <t>s</t>
    </r>
    <r>
      <rPr>
        <b/>
        <u/>
        <sz val="10"/>
        <rFont val="Arial"/>
        <family val="2"/>
      </rPr>
      <t xml:space="preserve"> int.</t>
    </r>
  </si>
  <si>
    <t>U235s [mol]</t>
  </si>
  <si>
    <t>± 1s [%]</t>
  </si>
  <si>
    <t>RPb86b</t>
  </si>
  <si>
    <t>RPb86c</t>
  </si>
  <si>
    <r>
      <t>s</t>
    </r>
    <r>
      <rPr>
        <b/>
        <sz val="12"/>
        <rFont val="Arial"/>
        <family val="2"/>
      </rPr>
      <t>RPb84c</t>
    </r>
  </si>
  <si>
    <t>dPb208r/dt68</t>
  </si>
  <si>
    <t>Th/U Calculations</t>
  </si>
  <si>
    <t>Collector</t>
  </si>
  <si>
    <t>D</t>
  </si>
  <si>
    <t>dPb207r/dR76m</t>
  </si>
  <si>
    <t>Sample</t>
  </si>
  <si>
    <t>Fraction</t>
  </si>
  <si>
    <r>
      <t>l</t>
    </r>
    <r>
      <rPr>
        <b/>
        <sz val="12"/>
        <rFont val="Arial"/>
        <family val="2"/>
      </rPr>
      <t>(235) [y</t>
    </r>
    <r>
      <rPr>
        <b/>
        <vertAlign val="superscript"/>
        <sz val="12"/>
        <rFont val="Arial"/>
        <family val="2"/>
      </rPr>
      <t>-1</t>
    </r>
    <r>
      <rPr>
        <b/>
        <sz val="12"/>
        <rFont val="Arial"/>
        <family val="2"/>
      </rPr>
      <t>]</t>
    </r>
  </si>
  <si>
    <r>
      <t>l</t>
    </r>
    <r>
      <rPr>
        <b/>
        <sz val="12"/>
        <rFont val="Arial"/>
        <family val="2"/>
      </rPr>
      <t>(238) [y</t>
    </r>
    <r>
      <rPr>
        <b/>
        <vertAlign val="superscript"/>
        <sz val="12"/>
        <rFont val="Arial"/>
        <family val="2"/>
      </rPr>
      <t>-1</t>
    </r>
    <r>
      <rPr>
        <b/>
        <sz val="12"/>
        <rFont val="Arial"/>
        <family val="2"/>
      </rPr>
      <t>]</t>
    </r>
  </si>
  <si>
    <t>dPb207r/dR46m</t>
  </si>
  <si>
    <t>dPb207r/dR65t</t>
  </si>
  <si>
    <r>
      <t>206</t>
    </r>
    <r>
      <rPr>
        <b/>
        <sz val="10"/>
        <rFont val="Arial"/>
        <family val="2"/>
      </rPr>
      <t>Pb/</t>
    </r>
    <r>
      <rPr>
        <b/>
        <vertAlign val="superscript"/>
        <sz val="10"/>
        <rFont val="Arial"/>
        <family val="2"/>
      </rPr>
      <t>204</t>
    </r>
    <r>
      <rPr>
        <b/>
        <sz val="10"/>
        <rFont val="Arial"/>
        <family val="2"/>
      </rPr>
      <t>Pb</t>
    </r>
  </si>
  <si>
    <r>
      <t>206</t>
    </r>
    <r>
      <rPr>
        <b/>
        <sz val="10"/>
        <rFont val="Arial"/>
        <family val="2"/>
      </rPr>
      <t>Pb/</t>
    </r>
    <r>
      <rPr>
        <b/>
        <vertAlign val="superscript"/>
        <sz val="10"/>
        <rFont val="Arial"/>
        <family val="2"/>
      </rPr>
      <t>207</t>
    </r>
    <r>
      <rPr>
        <b/>
        <sz val="10"/>
        <rFont val="Arial"/>
        <family val="2"/>
      </rPr>
      <t>Pb</t>
    </r>
  </si>
  <si>
    <r>
      <t>206</t>
    </r>
    <r>
      <rPr>
        <b/>
        <sz val="10"/>
        <rFont val="Arial"/>
        <family val="2"/>
      </rPr>
      <t>Pb/</t>
    </r>
    <r>
      <rPr>
        <b/>
        <vertAlign val="superscript"/>
        <sz val="10"/>
        <rFont val="Arial"/>
        <family val="2"/>
      </rPr>
      <t>205</t>
    </r>
    <r>
      <rPr>
        <b/>
        <sz val="10"/>
        <rFont val="Arial"/>
        <family val="2"/>
      </rPr>
      <t>Pb</t>
    </r>
  </si>
  <si>
    <r>
      <t>207</t>
    </r>
    <r>
      <rPr>
        <b/>
        <sz val="10"/>
        <rFont val="Arial"/>
        <family val="2"/>
      </rPr>
      <t>Pb/</t>
    </r>
    <r>
      <rPr>
        <b/>
        <vertAlign val="superscript"/>
        <sz val="10"/>
        <rFont val="Arial"/>
        <family val="2"/>
      </rPr>
      <t>205</t>
    </r>
    <r>
      <rPr>
        <b/>
        <sz val="10"/>
        <rFont val="Arial"/>
        <family val="2"/>
      </rPr>
      <t>Pb</t>
    </r>
  </si>
  <si>
    <r>
      <t>204</t>
    </r>
    <r>
      <rPr>
        <b/>
        <sz val="10"/>
        <rFont val="Arial"/>
        <family val="2"/>
      </rPr>
      <t>Pb/</t>
    </r>
    <r>
      <rPr>
        <b/>
        <vertAlign val="superscript"/>
        <sz val="10"/>
        <rFont val="Arial"/>
        <family val="2"/>
      </rPr>
      <t>205</t>
    </r>
    <r>
      <rPr>
        <b/>
        <sz val="10"/>
        <rFont val="Arial"/>
        <family val="2"/>
      </rPr>
      <t>Pb</t>
    </r>
  </si>
  <si>
    <r>
      <t>208</t>
    </r>
    <r>
      <rPr>
        <b/>
        <sz val="10"/>
        <rFont val="Arial"/>
        <family val="2"/>
      </rPr>
      <t>Pb/</t>
    </r>
    <r>
      <rPr>
        <b/>
        <vertAlign val="superscript"/>
        <sz val="10"/>
        <rFont val="Arial"/>
        <family val="2"/>
      </rPr>
      <t>205</t>
    </r>
    <r>
      <rPr>
        <b/>
        <sz val="10"/>
        <rFont val="Arial"/>
        <family val="2"/>
      </rPr>
      <t>Pb</t>
    </r>
  </si>
  <si>
    <r>
      <t>± 2</t>
    </r>
    <r>
      <rPr>
        <b/>
        <sz val="10"/>
        <rFont val="Symbol"/>
        <charset val="2"/>
      </rPr>
      <t>s</t>
    </r>
    <r>
      <rPr>
        <b/>
        <sz val="10"/>
        <rFont val="Arial"/>
        <family val="2"/>
      </rPr>
      <t xml:space="preserve"> [abs]</t>
    </r>
  </si>
  <si>
    <t>Th232s [mol] (wrt t68)</t>
  </si>
  <si>
    <r>
      <t xml:space="preserve">(c) Pb* and Pbc represent radiogenic and common Pb, respectively; mol % </t>
    </r>
    <r>
      <rPr>
        <vertAlign val="superscript"/>
        <sz val="8"/>
        <rFont val="Times New Roman"/>
        <family val="1"/>
      </rPr>
      <t>206</t>
    </r>
    <r>
      <rPr>
        <sz val="8"/>
        <rFont val="Times New Roman"/>
        <family val="1"/>
      </rPr>
      <t>Pb* with respect to radiogenic, blank and initial common Pb.</t>
    </r>
  </si>
  <si>
    <t>(g) Calculations are based on the decay constants of Jaffey et al. (1971). 206Pb/238U and 207Pb/206Pb ages corrected for initial disequilibrium in 230Th/238U using Th/U [magma] = 3.</t>
  </si>
  <si>
    <r>
      <t>s</t>
    </r>
    <r>
      <rPr>
        <sz val="12"/>
        <rFont val="Arial"/>
        <family val="2"/>
      </rPr>
      <t>Pb206r (%)</t>
    </r>
  </si>
  <si>
    <r>
      <t>s</t>
    </r>
    <r>
      <rPr>
        <sz val="12"/>
        <rFont val="Arial"/>
        <family val="2"/>
      </rPr>
      <t>Pb207r (abs)</t>
    </r>
  </si>
  <si>
    <r>
      <t>s</t>
    </r>
    <r>
      <rPr>
        <sz val="12"/>
        <rFont val="Arial"/>
        <family val="2"/>
      </rPr>
      <t>Pb207r (%)</t>
    </r>
  </si>
  <si>
    <t>Radiogenic Isotope Ratios:</t>
  </si>
  <si>
    <t>dPb207s-6s/dPb206b</t>
  </si>
  <si>
    <t>Pb207s*Pb206s</t>
  </si>
  <si>
    <t>Pb206r calc</t>
  </si>
  <si>
    <t>dPb206r/dR65m</t>
  </si>
  <si>
    <t>cov-R45t/R65t</t>
  </si>
  <si>
    <t>dPb206r/dR64b</t>
  </si>
  <si>
    <t>dPb206r/dR64c</t>
  </si>
  <si>
    <t>Pb207r calc</t>
  </si>
  <si>
    <t>dPb207r/dR65m</t>
  </si>
  <si>
    <t>Collector ("F"araday or "D"aly/SEM)</t>
  </si>
  <si>
    <r>
      <t>(d7/d6)*</t>
    </r>
    <r>
      <rPr>
        <b/>
        <sz val="12"/>
        <rFont val="Symbol"/>
        <charset val="2"/>
      </rPr>
      <t>s</t>
    </r>
    <r>
      <rPr>
        <b/>
        <sz val="12"/>
        <rFont val="Arial"/>
        <family val="2"/>
      </rPr>
      <t>^2</t>
    </r>
  </si>
  <si>
    <r>
      <t>S</t>
    </r>
    <r>
      <rPr>
        <b/>
        <sz val="12"/>
        <rFont val="Arial"/>
        <family val="2"/>
      </rPr>
      <t>(d7/d6)*</t>
    </r>
    <r>
      <rPr>
        <b/>
        <sz val="12"/>
        <rFont val="Symbol"/>
        <charset val="2"/>
      </rPr>
      <t>s</t>
    </r>
    <r>
      <rPr>
        <b/>
        <sz val="12"/>
        <rFont val="Arial"/>
        <family val="2"/>
      </rPr>
      <t>^2</t>
    </r>
  </si>
  <si>
    <r>
      <t>(</t>
    </r>
    <r>
      <rPr>
        <b/>
        <sz val="12"/>
        <rFont val="Symbol"/>
        <charset val="2"/>
      </rPr>
      <t>s</t>
    </r>
    <r>
      <rPr>
        <b/>
        <sz val="12"/>
        <rFont val="Arial"/>
        <family val="2"/>
      </rPr>
      <t>Pb207r/Pb207r)^2</t>
    </r>
  </si>
  <si>
    <r>
      <t>(</t>
    </r>
    <r>
      <rPr>
        <b/>
        <sz val="12"/>
        <rFont val="Symbol"/>
        <charset val="2"/>
      </rPr>
      <t>s</t>
    </r>
    <r>
      <rPr>
        <b/>
        <sz val="12"/>
        <rFont val="Arial"/>
        <family val="2"/>
      </rPr>
      <t>Pb206r/Pb206r)^2</t>
    </r>
  </si>
  <si>
    <r>
      <t>s</t>
    </r>
    <r>
      <rPr>
        <b/>
        <sz val="12"/>
        <rFont val="Arial"/>
        <family val="2"/>
      </rPr>
      <t>R76t</t>
    </r>
    <r>
      <rPr>
        <b/>
        <sz val="12"/>
        <rFont val="Symbol"/>
        <charset val="2"/>
      </rPr>
      <t>=s</t>
    </r>
    <r>
      <rPr>
        <b/>
        <sz val="12"/>
        <rFont val="Arial"/>
        <family val="2"/>
      </rPr>
      <t>R76r/(d/d)</t>
    </r>
  </si>
  <si>
    <t>cov-R65m/R76m</t>
  </si>
  <si>
    <t>cov-R65t/R76t</t>
  </si>
  <si>
    <t>cov-R65m/R46m</t>
  </si>
  <si>
    <t>cov-R65t/R46t</t>
  </si>
  <si>
    <t>cov*(d/d*d/d)</t>
  </si>
  <si>
    <t>cov-R85m/R35m</t>
  </si>
  <si>
    <t>(d7/d6)*cov-R65m/46m</t>
  </si>
  <si>
    <t>(d7/d6)*cov-R65t/45t</t>
  </si>
  <si>
    <t>207Pb/235U</t>
  </si>
  <si>
    <t>206Pb/238U</t>
  </si>
  <si>
    <t>rho (7/5-6/8)</t>
  </si>
  <si>
    <t>238U/206Pb</t>
  </si>
  <si>
    <t>207Pb/206Pb</t>
  </si>
  <si>
    <t>rho (8/6-7/6)</t>
  </si>
  <si>
    <t>Model Ages:</t>
  </si>
  <si>
    <t>Sample Isotope Ratios:</t>
  </si>
  <si>
    <t>238U/204Pb</t>
  </si>
  <si>
    <t>206Pb/204Pb</t>
  </si>
  <si>
    <t>rho (8/4-6/4)</t>
  </si>
  <si>
    <t>235U/204Pb</t>
  </si>
  <si>
    <t>207Pb/204Pb</t>
  </si>
  <si>
    <t>rho (5/4-7/4)</t>
  </si>
  <si>
    <t>204Pb/206Pb</t>
  </si>
  <si>
    <t>rho (8/6-4/6)</t>
  </si>
  <si>
    <t>rho (7/6-4/6)</t>
  </si>
  <si>
    <t>Molar Quantities &amp; Errors:</t>
  </si>
  <si>
    <t>Pb206s [mol]</t>
  </si>
  <si>
    <t>Pb207s [mol]</t>
  </si>
  <si>
    <t>Pb204c [mol]</t>
  </si>
  <si>
    <t>Pb206r [mol]</t>
  </si>
  <si>
    <t>Pb207r [mol]</t>
  </si>
  <si>
    <t>(i)</t>
  </si>
  <si>
    <t>cov-R85t/R35t</t>
  </si>
  <si>
    <t>Sample Fraction</t>
  </si>
  <si>
    <t>Mean</t>
  </si>
  <si>
    <t>% Standard Error</t>
  </si>
  <si>
    <t>Sample Weight (mg)</t>
  </si>
  <si>
    <t>Spike Weight (g)</t>
  </si>
  <si>
    <t>Pb205t [mol]</t>
  </si>
  <si>
    <t>Pb initial AW</t>
  </si>
  <si>
    <t>Pb blank AW</t>
  </si>
  <si>
    <t>Pb blank assumed [pg]</t>
  </si>
  <si>
    <t>Pb blank+initial [pg]</t>
  </si>
  <si>
    <t>U blank assumed [pg]</t>
  </si>
  <si>
    <t>U238b [mol]</t>
  </si>
  <si>
    <t>F(Pb)</t>
  </si>
  <si>
    <t>F(U)</t>
  </si>
  <si>
    <t>Initial t68</t>
  </si>
  <si>
    <t>Iter3 Corr. t68</t>
  </si>
  <si>
    <t>Corr. Pb206r [mol]</t>
  </si>
  <si>
    <t>Corr. 207Pb*/206Pb*</t>
  </si>
  <si>
    <t>Th</t>
  </si>
  <si>
    <t>Pb*</t>
  </si>
  <si>
    <t>corr.</t>
  </si>
  <si>
    <t>U</t>
  </si>
  <si>
    <t>(pg)</t>
  </si>
  <si>
    <t>dPb206r/dR46m</t>
  </si>
  <si>
    <t>dPb206r/dR65t</t>
  </si>
  <si>
    <t>dPb206r/dR45t</t>
  </si>
  <si>
    <t>dPb206r/dF</t>
  </si>
  <si>
    <t>(h)</t>
  </si>
  <si>
    <r>
      <t>Pb</t>
    </r>
    <r>
      <rPr>
        <vertAlign val="subscript"/>
        <sz val="8"/>
        <rFont val="Times New Roman"/>
        <family val="1"/>
      </rPr>
      <t>c</t>
    </r>
  </si>
  <si>
    <r>
      <t>206</t>
    </r>
    <r>
      <rPr>
        <u/>
        <sz val="8"/>
        <rFont val="Times New Roman"/>
        <family val="1"/>
      </rPr>
      <t>Pb</t>
    </r>
  </si>
  <si>
    <r>
      <t>208</t>
    </r>
    <r>
      <rPr>
        <u/>
        <sz val="8"/>
        <rFont val="Times New Roman"/>
        <family val="1"/>
      </rPr>
      <t>Pb</t>
    </r>
  </si>
  <si>
    <r>
      <t>207</t>
    </r>
    <r>
      <rPr>
        <u/>
        <sz val="8"/>
        <rFont val="Times New Roman"/>
        <family val="1"/>
      </rPr>
      <t>Pb</t>
    </r>
  </si>
  <si>
    <r>
      <t>204</t>
    </r>
    <r>
      <rPr>
        <sz val="8"/>
        <rFont val="Times New Roman"/>
        <family val="1"/>
      </rPr>
      <t>Pb</t>
    </r>
  </si>
  <si>
    <r>
      <t>206</t>
    </r>
    <r>
      <rPr>
        <sz val="8"/>
        <rFont val="Times New Roman"/>
        <family val="1"/>
      </rPr>
      <t>Pb</t>
    </r>
  </si>
  <si>
    <r>
      <t>235</t>
    </r>
    <r>
      <rPr>
        <sz val="8"/>
        <rFont val="Times New Roman"/>
        <family val="1"/>
      </rPr>
      <t>U</t>
    </r>
  </si>
  <si>
    <r>
      <t>238</t>
    </r>
    <r>
      <rPr>
        <sz val="8"/>
        <rFont val="Times New Roman"/>
        <family val="1"/>
      </rPr>
      <t>U</t>
    </r>
  </si>
  <si>
    <t>ppm</t>
  </si>
  <si>
    <t>Pb</t>
  </si>
  <si>
    <r>
      <t>206</t>
    </r>
    <r>
      <rPr>
        <sz val="8"/>
        <rFont val="Times New Roman"/>
        <family val="1"/>
      </rPr>
      <t>Pb*</t>
    </r>
  </si>
  <si>
    <t>Pbc (pg)</t>
  </si>
  <si>
    <t>Isotopic Ages</t>
  </si>
  <si>
    <t>Pb206b [mol]</t>
  </si>
  <si>
    <t>Pb207b [mol]</t>
  </si>
  <si>
    <t>Pb208b [mol]</t>
  </si>
  <si>
    <t>Pb206c [mol]</t>
  </si>
  <si>
    <t>Pb207c [mol]</t>
  </si>
  <si>
    <t>Pb208c [mol]</t>
  </si>
  <si>
    <t>%Pb206r</t>
  </si>
  <si>
    <t>Sigmas</t>
  </si>
  <si>
    <t>Partial derivatives</t>
  </si>
  <si>
    <t>Pb206s calc</t>
  </si>
  <si>
    <t>dPb206s/dR65m</t>
  </si>
  <si>
    <t>dPb206s/dR65t</t>
  </si>
  <si>
    <t>Pb205t [mol/g]</t>
  </si>
  <si>
    <t>dPb206r/dPb206b</t>
  </si>
  <si>
    <t>dPb206s/dFPb</t>
  </si>
  <si>
    <t>dPb206s/dPb206b</t>
  </si>
  <si>
    <t>Pb207s calc</t>
  </si>
  <si>
    <t>dPb207s/dR65m</t>
  </si>
  <si>
    <t>dPb207s/dR76m</t>
  </si>
  <si>
    <t>dPb207s/dR65t</t>
  </si>
  <si>
    <t>dPb207s/dR76t</t>
  </si>
  <si>
    <t>dPb207s/dFPb</t>
  </si>
  <si>
    <t>dPb207s/dPb206b</t>
  </si>
  <si>
    <t>dPb207s/dR76b</t>
  </si>
  <si>
    <t>Pb204c calc</t>
  </si>
  <si>
    <t>dPb204c/dR65m</t>
  </si>
  <si>
    <t>dPb204c/dR46m</t>
  </si>
  <si>
    <t>dPb204c/dR65t</t>
  </si>
  <si>
    <t>dPb204c/dR46t</t>
  </si>
  <si>
    <t>dPb204c/dFPb</t>
  </si>
  <si>
    <t>dPb204c/dPb206b</t>
  </si>
  <si>
    <t>dPb204c/dR64b</t>
  </si>
  <si>
    <t>dFU/dR35t</t>
  </si>
  <si>
    <t>dFU/dR85m</t>
  </si>
  <si>
    <t>dFU/dR35m</t>
  </si>
  <si>
    <t>dFU/dR85t</t>
  </si>
  <si>
    <t>dU238s/dR85m</t>
  </si>
  <si>
    <t>dU238s/dR85t</t>
  </si>
  <si>
    <t>dU238s/dFU</t>
  </si>
  <si>
    <r>
      <t>s</t>
    </r>
    <r>
      <rPr>
        <b/>
        <sz val="12"/>
        <rFont val="Arial"/>
        <family val="2"/>
      </rPr>
      <t>RPb46b</t>
    </r>
  </si>
  <si>
    <r>
      <t>s</t>
    </r>
    <r>
      <rPr>
        <b/>
        <sz val="12"/>
        <rFont val="Arial"/>
        <family val="2"/>
      </rPr>
      <t>RPb86b</t>
    </r>
  </si>
  <si>
    <r>
      <t>s</t>
    </r>
    <r>
      <rPr>
        <b/>
        <sz val="12"/>
        <rFont val="Arial"/>
        <family val="2"/>
      </rPr>
      <t>RPb84b</t>
    </r>
  </si>
  <si>
    <r>
      <t>l</t>
    </r>
    <r>
      <rPr>
        <b/>
        <sz val="12"/>
        <rFont val="Arial"/>
        <family val="2"/>
      </rPr>
      <t>(230) [y</t>
    </r>
    <r>
      <rPr>
        <b/>
        <vertAlign val="superscript"/>
        <sz val="12"/>
        <rFont val="Arial"/>
        <family val="2"/>
      </rPr>
      <t>-1</t>
    </r>
    <r>
      <rPr>
        <b/>
        <sz val="12"/>
        <rFont val="Arial"/>
        <family val="2"/>
      </rPr>
      <t>]</t>
    </r>
  </si>
  <si>
    <t>Estimated</t>
  </si>
  <si>
    <t>RU83m</t>
  </si>
  <si>
    <t>RPb65m</t>
  </si>
  <si>
    <t>RPb46m</t>
  </si>
  <si>
    <t>RPb76m</t>
  </si>
  <si>
    <t>RPb45m</t>
  </si>
  <si>
    <t>RPb75m</t>
  </si>
  <si>
    <t>RPb85m</t>
  </si>
  <si>
    <t>RPb65t</t>
  </si>
  <si>
    <t>RPb75t</t>
  </si>
  <si>
    <t>RPb45t</t>
  </si>
  <si>
    <t>RPb76t</t>
  </si>
  <si>
    <t>RPb46t</t>
  </si>
  <si>
    <t>RU83t</t>
  </si>
  <si>
    <t>RPb64c</t>
  </si>
  <si>
    <t>RPb74c</t>
  </si>
  <si>
    <t>RPb84c</t>
  </si>
  <si>
    <t>RPb76c</t>
  </si>
  <si>
    <t>RPb64b</t>
  </si>
  <si>
    <t>RPb74b</t>
  </si>
  <si>
    <t>RPb84b</t>
  </si>
  <si>
    <t>RPb76b</t>
  </si>
  <si>
    <t>RPb85t</t>
  </si>
  <si>
    <r>
      <t>l</t>
    </r>
    <r>
      <rPr>
        <b/>
        <sz val="12"/>
        <rFont val="Arial"/>
        <family val="2"/>
      </rPr>
      <t>(232) [y</t>
    </r>
    <r>
      <rPr>
        <b/>
        <vertAlign val="superscript"/>
        <sz val="12"/>
        <rFont val="Arial"/>
        <family val="2"/>
      </rPr>
      <t>-1</t>
    </r>
    <r>
      <rPr>
        <b/>
        <sz val="12"/>
        <rFont val="Arial"/>
        <family val="2"/>
      </rPr>
      <t>]</t>
    </r>
  </si>
  <si>
    <t>dPb208r/dR85m</t>
  </si>
  <si>
    <t>dPb208r/dFPb</t>
  </si>
  <si>
    <t>dPb208r/dR85t</t>
  </si>
  <si>
    <t>dU238s/dU238b</t>
  </si>
  <si>
    <t>U235s calc</t>
  </si>
  <si>
    <t>dU235s/dU238s</t>
  </si>
  <si>
    <t>dFPb/dR25t</t>
  </si>
  <si>
    <t>dFPb/dR25m</t>
  </si>
  <si>
    <r>
      <t>202</t>
    </r>
    <r>
      <rPr>
        <b/>
        <sz val="10"/>
        <rFont val="Arial"/>
        <family val="2"/>
      </rPr>
      <t>Pb/</t>
    </r>
    <r>
      <rPr>
        <b/>
        <vertAlign val="superscript"/>
        <sz val="10"/>
        <rFont val="Arial"/>
        <family val="2"/>
      </rPr>
      <t>205</t>
    </r>
    <r>
      <rPr>
        <b/>
        <sz val="10"/>
        <rFont val="Arial"/>
        <family val="2"/>
      </rPr>
      <t>Pb</t>
    </r>
  </si>
  <si>
    <t>dPb206s-4c/dPb206b</t>
  </si>
  <si>
    <t>Pb206s*Pb204c</t>
  </si>
  <si>
    <t>Pb207s-Pb204c cov</t>
  </si>
  <si>
    <t>dPb207s-4c/dR65m</t>
  </si>
  <si>
    <t>dPb207s-4c/dR65t</t>
  </si>
  <si>
    <t>dPb207s-4c/dFPb</t>
  </si>
  <si>
    <t>dPb207s-4c/dPb206b</t>
  </si>
  <si>
    <t>Pb207s*Pb204c</t>
  </si>
  <si>
    <t>Pb207s-Pb206s cov</t>
  </si>
  <si>
    <t>dPb207s-6s/dR65m</t>
  </si>
  <si>
    <t>dPb207s-6s/dR65t</t>
  </si>
  <si>
    <t>dPb207s-6s/dFPb</t>
  </si>
  <si>
    <r>
      <t>s</t>
    </r>
    <r>
      <rPr>
        <b/>
        <sz val="12"/>
        <rFont val="Arial"/>
        <family val="2"/>
      </rPr>
      <t>RU83t</t>
    </r>
  </si>
  <si>
    <t>Pb208r calc</t>
  </si>
  <si>
    <t>cov-R85m/R45m</t>
  </si>
  <si>
    <t>cov-R86b/R46b</t>
  </si>
  <si>
    <t>cov-R85t/R45t</t>
  </si>
  <si>
    <t>Th232 calc</t>
  </si>
  <si>
    <t>dPb208r/dt75</t>
  </si>
  <si>
    <t>U (ppm)</t>
  </si>
  <si>
    <t>U238s [mol]</t>
  </si>
  <si>
    <r>
      <t>204</t>
    </r>
    <r>
      <rPr>
        <u/>
        <sz val="8"/>
        <rFont val="Times New Roman"/>
        <family val="1"/>
      </rPr>
      <t>Pb</t>
    </r>
  </si>
  <si>
    <t>corr. coef.</t>
  </si>
  <si>
    <t>8/6-7/6</t>
  </si>
  <si>
    <t>8/6-4/6</t>
  </si>
  <si>
    <t>7/6-4/6</t>
  </si>
  <si>
    <t>Wt.</t>
  </si>
  <si>
    <t>mg</t>
  </si>
  <si>
    <t>Blank Amounts</t>
  </si>
  <si>
    <r>
      <t>Stacey &amp; Kramers Two-Stage Pb Evolution Calculator (&lt;3.7 Ga):</t>
    </r>
    <r>
      <rPr>
        <i/>
        <sz val="14"/>
        <rFont val="Arial"/>
        <family val="2"/>
      </rPr>
      <t xml:space="preserve"> copy and paste values into initial Pb if appropriate</t>
    </r>
  </si>
  <si>
    <t>8/4-6/4</t>
  </si>
  <si>
    <r>
      <t>235</t>
    </r>
    <r>
      <rPr>
        <u/>
        <sz val="8"/>
        <rFont val="Times New Roman"/>
        <family val="1"/>
      </rPr>
      <t>U</t>
    </r>
  </si>
  <si>
    <t>5/4-7/4</t>
  </si>
  <si>
    <r>
      <t>x10</t>
    </r>
    <r>
      <rPr>
        <vertAlign val="superscript"/>
        <sz val="8"/>
        <rFont val="Times New Roman"/>
        <family val="1"/>
      </rPr>
      <t>-13</t>
    </r>
    <r>
      <rPr>
        <sz val="8"/>
        <rFont val="Times New Roman"/>
        <family val="1"/>
      </rPr>
      <t xml:space="preserve"> mol</t>
    </r>
  </si>
  <si>
    <t>Pb Fractionation Factors</t>
  </si>
  <si>
    <t>Faraday</t>
  </si>
  <si>
    <t>Daly/SEM</t>
  </si>
  <si>
    <t>U Fractionation Factors</t>
  </si>
  <si>
    <t>Pb206s-Pb204c cov</t>
  </si>
  <si>
    <t>dPb206s-4c/dR65m</t>
  </si>
  <si>
    <t>dPb206s-4c/dR65t</t>
  </si>
  <si>
    <t>dPb206s-4c/dFPb</t>
  </si>
  <si>
    <r>
      <t>207</t>
    </r>
    <r>
      <rPr>
        <b/>
        <sz val="10"/>
        <rFont val="Arial"/>
        <family val="2"/>
      </rPr>
      <t>Pb/</t>
    </r>
    <r>
      <rPr>
        <b/>
        <vertAlign val="superscript"/>
        <sz val="10"/>
        <rFont val="Arial"/>
        <family val="2"/>
      </rPr>
      <t>235</t>
    </r>
    <r>
      <rPr>
        <b/>
        <sz val="10"/>
        <rFont val="Arial"/>
        <family val="2"/>
      </rPr>
      <t>U</t>
    </r>
  </si>
  <si>
    <r>
      <t>206</t>
    </r>
    <r>
      <rPr>
        <b/>
        <sz val="10"/>
        <rFont val="Arial"/>
        <family val="2"/>
      </rPr>
      <t>Pb/</t>
    </r>
    <r>
      <rPr>
        <b/>
        <vertAlign val="superscript"/>
        <sz val="10"/>
        <rFont val="Arial"/>
        <family val="2"/>
      </rPr>
      <t>238</t>
    </r>
    <r>
      <rPr>
        <b/>
        <sz val="10"/>
        <rFont val="Arial"/>
        <family val="2"/>
      </rPr>
      <t>U</t>
    </r>
  </si>
  <si>
    <r>
      <t>207</t>
    </r>
    <r>
      <rPr>
        <b/>
        <sz val="10"/>
        <rFont val="Arial"/>
        <family val="2"/>
      </rPr>
      <t>Pb/</t>
    </r>
    <r>
      <rPr>
        <b/>
        <vertAlign val="superscript"/>
        <sz val="10"/>
        <rFont val="Arial"/>
        <family val="2"/>
      </rPr>
      <t>206</t>
    </r>
    <r>
      <rPr>
        <b/>
        <sz val="10"/>
        <rFont val="Arial"/>
        <family val="2"/>
      </rPr>
      <t>Pb</t>
    </r>
  </si>
  <si>
    <t>dPb208r/dR86b</t>
  </si>
  <si>
    <t>Th232s [mol] (wrt t75)</t>
  </si>
  <si>
    <t>Th/U (wrt t68)</t>
  </si>
  <si>
    <t>206Pb/204Pb (fc-spike)</t>
  </si>
  <si>
    <t>208Pbr/206Pbr</t>
  </si>
  <si>
    <t>Mol% 208r (wrt 6,7,8)</t>
  </si>
  <si>
    <t>Mol% 206r (wrt r,b,c)</t>
  </si>
  <si>
    <t>Sample Wt. (mg)</t>
  </si>
  <si>
    <t>Spike Wt. (g)</t>
  </si>
  <si>
    <t>Initial Th/U (wrt t68)</t>
  </si>
  <si>
    <t>Th/U magma</t>
  </si>
  <si>
    <t>Pb rad (pg)</t>
  </si>
  <si>
    <t>Pb common (pg)</t>
  </si>
  <si>
    <t>206Pb total (mol)</t>
  </si>
  <si>
    <t>206Pb rad (mol)</t>
  </si>
  <si>
    <t>206Pb common (mol)</t>
  </si>
  <si>
    <t>Pb*/Pbc</t>
  </si>
  <si>
    <t>dR76r/dt 1st term</t>
  </si>
  <si>
    <t>dR76r/dt 2nd term</t>
  </si>
  <si>
    <t>dR76r/dt</t>
  </si>
  <si>
    <r>
      <t>± 1</t>
    </r>
    <r>
      <rPr>
        <b/>
        <sz val="12"/>
        <rFont val="Symbol"/>
        <charset val="2"/>
      </rPr>
      <t>s</t>
    </r>
    <r>
      <rPr>
        <b/>
        <sz val="12"/>
        <rFont val="Arial"/>
        <family val="2"/>
      </rPr>
      <t xml:space="preserve"> [%]</t>
    </r>
  </si>
  <si>
    <r>
      <t>± 2</t>
    </r>
    <r>
      <rPr>
        <b/>
        <sz val="12"/>
        <rFont val="Symbol"/>
        <charset val="2"/>
      </rPr>
      <t>s</t>
    </r>
    <r>
      <rPr>
        <b/>
        <sz val="12"/>
        <rFont val="Arial"/>
        <family val="2"/>
      </rPr>
      <t xml:space="preserve"> [%]</t>
    </r>
  </si>
  <si>
    <r>
      <t>± 2</t>
    </r>
    <r>
      <rPr>
        <b/>
        <sz val="12"/>
        <rFont val="Symbol"/>
        <charset val="2"/>
      </rPr>
      <t>s</t>
    </r>
    <r>
      <rPr>
        <b/>
        <sz val="12"/>
        <rFont val="Arial"/>
        <family val="2"/>
      </rPr>
      <t xml:space="preserve"> [abs]</t>
    </r>
  </si>
  <si>
    <r>
      <t>s</t>
    </r>
    <r>
      <rPr>
        <sz val="12"/>
        <rFont val="Arial"/>
        <family val="2"/>
      </rPr>
      <t>Pb206s (abs)</t>
    </r>
  </si>
  <si>
    <r>
      <t>s</t>
    </r>
    <r>
      <rPr>
        <sz val="12"/>
        <rFont val="Arial"/>
        <family val="2"/>
      </rPr>
      <t>Pb206s (%)</t>
    </r>
  </si>
  <si>
    <r>
      <t>s</t>
    </r>
    <r>
      <rPr>
        <sz val="12"/>
        <rFont val="Arial"/>
        <family val="2"/>
      </rPr>
      <t>Pb207s (abs)</t>
    </r>
  </si>
  <si>
    <r>
      <t>s</t>
    </r>
    <r>
      <rPr>
        <sz val="12"/>
        <rFont val="Arial"/>
        <family val="2"/>
      </rPr>
      <t>Pb207s (%)</t>
    </r>
  </si>
  <si>
    <r>
      <t>s</t>
    </r>
    <r>
      <rPr>
        <sz val="12"/>
        <rFont val="Arial"/>
        <family val="2"/>
      </rPr>
      <t>Pb204c (abs)</t>
    </r>
  </si>
  <si>
    <r>
      <t>s</t>
    </r>
    <r>
      <rPr>
        <sz val="12"/>
        <rFont val="Arial"/>
        <family val="2"/>
      </rPr>
      <t>Pb204c (%)</t>
    </r>
  </si>
  <si>
    <r>
      <t>s</t>
    </r>
    <r>
      <rPr>
        <sz val="12"/>
        <rFont val="Arial"/>
        <family val="2"/>
      </rPr>
      <t>U238s (abs)</t>
    </r>
  </si>
  <si>
    <r>
      <t>s</t>
    </r>
    <r>
      <rPr>
        <sz val="12"/>
        <rFont val="Arial"/>
        <family val="2"/>
      </rPr>
      <t>U238s (%)</t>
    </r>
  </si>
  <si>
    <r>
      <t>s</t>
    </r>
    <r>
      <rPr>
        <sz val="12"/>
        <rFont val="Arial"/>
        <family val="2"/>
      </rPr>
      <t>U235s (abs)</t>
    </r>
  </si>
  <si>
    <r>
      <t>s</t>
    </r>
    <r>
      <rPr>
        <sz val="12"/>
        <rFont val="Arial"/>
        <family val="2"/>
      </rPr>
      <t>U235s (%)</t>
    </r>
  </si>
  <si>
    <r>
      <t>s</t>
    </r>
    <r>
      <rPr>
        <sz val="12"/>
        <rFont val="Arial"/>
        <family val="2"/>
      </rPr>
      <t>Pb206r (abs)</t>
    </r>
  </si>
  <si>
    <r>
      <t>s</t>
    </r>
    <r>
      <rPr>
        <b/>
        <sz val="12"/>
        <rFont val="Arial"/>
        <family val="2"/>
      </rPr>
      <t>FPb(25)</t>
    </r>
  </si>
  <si>
    <r>
      <t>s</t>
    </r>
    <r>
      <rPr>
        <b/>
        <sz val="12"/>
        <rFont val="Arial"/>
        <family val="2"/>
      </rPr>
      <t>FU(35)</t>
    </r>
  </si>
  <si>
    <t>FU(36) calc</t>
  </si>
  <si>
    <t>dFU/dR36t</t>
  </si>
  <si>
    <t>dFU/dR36m</t>
  </si>
  <si>
    <t>FU(36)</t>
  </si>
  <si>
    <r>
      <t>s</t>
    </r>
    <r>
      <rPr>
        <b/>
        <sz val="12"/>
        <rFont val="Arial"/>
        <family val="2"/>
      </rPr>
      <t>FU(36)</t>
    </r>
  </si>
  <si>
    <t>dU238s/dR86m</t>
  </si>
  <si>
    <t>dU238s/dR86t</t>
  </si>
  <si>
    <t>dU238s/dFU(35)</t>
  </si>
  <si>
    <t>dU238s/dFU(36)</t>
  </si>
  <si>
    <r>
      <t>s</t>
    </r>
    <r>
      <rPr>
        <b/>
        <sz val="12"/>
        <rFont val="Arial"/>
        <family val="2"/>
      </rPr>
      <t>U238s</t>
    </r>
  </si>
  <si>
    <t>U238s</t>
  </si>
  <si>
    <r>
      <t>233</t>
    </r>
    <r>
      <rPr>
        <b/>
        <sz val="10"/>
        <rFont val="Arial"/>
        <family val="2"/>
      </rPr>
      <t>U/</t>
    </r>
    <r>
      <rPr>
        <b/>
        <vertAlign val="superscript"/>
        <sz val="10"/>
        <rFont val="Arial"/>
        <family val="2"/>
      </rPr>
      <t>23X</t>
    </r>
    <r>
      <rPr>
        <b/>
        <sz val="10"/>
        <rFont val="Arial"/>
        <family val="2"/>
      </rPr>
      <t>U</t>
    </r>
  </si>
  <si>
    <r>
      <t>238</t>
    </r>
    <r>
      <rPr>
        <b/>
        <sz val="10"/>
        <rFont val="Arial"/>
        <family val="2"/>
      </rPr>
      <t>U/</t>
    </r>
    <r>
      <rPr>
        <b/>
        <vertAlign val="superscript"/>
        <sz val="10"/>
        <rFont val="Arial"/>
        <family val="2"/>
      </rPr>
      <t>23X</t>
    </r>
    <r>
      <rPr>
        <b/>
        <sz val="10"/>
        <rFont val="Arial"/>
        <family val="2"/>
      </rPr>
      <t>U</t>
    </r>
  </si>
  <si>
    <t>RU3Xm (X=5 or 6)</t>
  </si>
  <si>
    <t>RU8Xm (X=5 or 6)</t>
  </si>
  <si>
    <r>
      <t>s</t>
    </r>
    <r>
      <rPr>
        <b/>
        <sz val="12"/>
        <rFont val="Arial"/>
        <family val="2"/>
      </rPr>
      <t>RU8Xm</t>
    </r>
  </si>
  <si>
    <r>
      <t>s</t>
    </r>
    <r>
      <rPr>
        <b/>
        <sz val="12"/>
        <rFont val="Arial"/>
        <family val="2"/>
      </rPr>
      <t>RU3Xm</t>
    </r>
  </si>
  <si>
    <r>
      <t>s</t>
    </r>
    <r>
      <rPr>
        <b/>
        <sz val="12"/>
        <rFont val="Arial"/>
        <family val="2"/>
      </rPr>
      <t>RU8Xt</t>
    </r>
  </si>
  <si>
    <r>
      <t>s</t>
    </r>
    <r>
      <rPr>
        <b/>
        <sz val="12"/>
        <rFont val="Arial"/>
        <family val="2"/>
      </rPr>
      <t>RU3Xt</t>
    </r>
  </si>
  <si>
    <t>RU8Xt (X=5 or 6)</t>
  </si>
  <si>
    <t>RU3Xt (X=5 or 6)</t>
  </si>
  <si>
    <t>Spike Type</t>
  </si>
  <si>
    <t>Pb205</t>
  </si>
  <si>
    <t>U23X</t>
  </si>
  <si>
    <t>202Pb/205Pb</t>
  </si>
  <si>
    <t>206Pb/205Pb</t>
  </si>
  <si>
    <t>207Pb/205Pb</t>
  </si>
  <si>
    <t>204Pb/205Pb</t>
  </si>
  <si>
    <t>208Pb/205Pb</t>
  </si>
  <si>
    <t>238U/23XU</t>
  </si>
  <si>
    <t>233U/23XU</t>
  </si>
  <si>
    <t>238U/233U</t>
  </si>
  <si>
    <t>Composition:</t>
  </si>
  <si>
    <t>230Th-Disequilibrium Corrected Model Ages</t>
  </si>
  <si>
    <t>± 2s [abs]</t>
  </si>
  <si>
    <t>Initial 206Pb/238U</t>
  </si>
  <si>
    <t>Iter1 Corr. t68</t>
  </si>
  <si>
    <t>Iter2 Corr. t68</t>
  </si>
  <si>
    <t>dPb208r/dPb206b</t>
  </si>
  <si>
    <t>dPb208r/dR84c</t>
  </si>
  <si>
    <t>dPb208r/dR45t</t>
  </si>
  <si>
    <t>dPb208r/dR46b</t>
  </si>
  <si>
    <t>dPb208r/dR45m</t>
  </si>
  <si>
    <t>dTh232/dPb208r</t>
  </si>
  <si>
    <t>Pb208r [mol]</t>
  </si>
  <si>
    <r>
      <t>s</t>
    </r>
    <r>
      <rPr>
        <b/>
        <sz val="12"/>
        <rFont val="Arial"/>
        <family val="2"/>
      </rPr>
      <t>RPb65m</t>
    </r>
  </si>
  <si>
    <r>
      <t>s</t>
    </r>
    <r>
      <rPr>
        <b/>
        <sz val="12"/>
        <rFont val="Arial"/>
        <family val="2"/>
      </rPr>
      <t>RPb46m</t>
    </r>
  </si>
  <si>
    <r>
      <t>s</t>
    </r>
    <r>
      <rPr>
        <b/>
        <sz val="12"/>
        <rFont val="Arial"/>
        <family val="2"/>
      </rPr>
      <t>RPb76m</t>
    </r>
  </si>
  <si>
    <r>
      <t>s</t>
    </r>
    <r>
      <rPr>
        <b/>
        <sz val="12"/>
        <rFont val="Arial"/>
        <family val="2"/>
      </rPr>
      <t>RPb45m</t>
    </r>
  </si>
  <si>
    <r>
      <t>s</t>
    </r>
    <r>
      <rPr>
        <b/>
        <sz val="12"/>
        <rFont val="Arial"/>
        <family val="2"/>
      </rPr>
      <t>RPb75m</t>
    </r>
  </si>
  <si>
    <r>
      <t>s</t>
    </r>
    <r>
      <rPr>
        <b/>
        <sz val="12"/>
        <rFont val="Arial"/>
        <family val="2"/>
      </rPr>
      <t>RPb65t</t>
    </r>
  </si>
  <si>
    <r>
      <t>s</t>
    </r>
    <r>
      <rPr>
        <b/>
        <sz val="12"/>
        <rFont val="Arial"/>
        <family val="2"/>
      </rPr>
      <t>RPb75t</t>
    </r>
  </si>
  <si>
    <r>
      <t>s</t>
    </r>
    <r>
      <rPr>
        <b/>
        <sz val="12"/>
        <rFont val="Arial"/>
        <family val="2"/>
      </rPr>
      <t>RPb45t</t>
    </r>
  </si>
  <si>
    <r>
      <t>s</t>
    </r>
    <r>
      <rPr>
        <b/>
        <sz val="12"/>
        <rFont val="Arial"/>
        <family val="2"/>
      </rPr>
      <t>RPb76t</t>
    </r>
  </si>
  <si>
    <r>
      <t>s</t>
    </r>
    <r>
      <rPr>
        <b/>
        <sz val="12"/>
        <rFont val="Arial"/>
        <family val="2"/>
      </rPr>
      <t>RPb46t</t>
    </r>
  </si>
  <si>
    <r>
      <t>s</t>
    </r>
    <r>
      <rPr>
        <b/>
        <sz val="12"/>
        <rFont val="Arial"/>
        <family val="2"/>
      </rPr>
      <t>RPb64c</t>
    </r>
  </si>
  <si>
    <r>
      <t>s</t>
    </r>
    <r>
      <rPr>
        <b/>
        <sz val="12"/>
        <rFont val="Arial"/>
        <family val="2"/>
      </rPr>
      <t>RPb76c</t>
    </r>
  </si>
  <si>
    <r>
      <t>s</t>
    </r>
    <r>
      <rPr>
        <b/>
        <sz val="12"/>
        <rFont val="Arial"/>
        <family val="2"/>
      </rPr>
      <t>RPb64b</t>
    </r>
  </si>
  <si>
    <r>
      <t>s</t>
    </r>
    <r>
      <rPr>
        <b/>
        <sz val="12"/>
        <rFont val="Arial"/>
        <family val="2"/>
      </rPr>
      <t>RPb76b</t>
    </r>
  </si>
  <si>
    <r>
      <t>s</t>
    </r>
    <r>
      <rPr>
        <b/>
        <sz val="12"/>
        <rFont val="Arial"/>
        <family val="2"/>
      </rPr>
      <t>RU83m</t>
    </r>
  </si>
  <si>
    <r>
      <t xml:space="preserve">U Blank Amount: </t>
    </r>
    <r>
      <rPr>
        <i/>
        <sz val="14"/>
        <rFont val="Arial"/>
        <family val="2"/>
      </rPr>
      <t xml:space="preserve"> grey cells from </t>
    </r>
    <r>
      <rPr>
        <b/>
        <sz val="14"/>
        <rFont val="Arial"/>
        <family val="2"/>
      </rPr>
      <t>"Laboratory and Sample Constants"</t>
    </r>
  </si>
  <si>
    <r>
      <t xml:space="preserve">Pb Blank Amount: </t>
    </r>
    <r>
      <rPr>
        <i/>
        <sz val="14"/>
        <rFont val="Arial"/>
        <family val="2"/>
      </rPr>
      <t xml:space="preserve"> grey cells from </t>
    </r>
    <r>
      <rPr>
        <b/>
        <sz val="14"/>
        <rFont val="Arial"/>
        <family val="2"/>
      </rPr>
      <t>"Laboratory and Sample Constants"</t>
    </r>
  </si>
  <si>
    <t>Fractionation Factors:</t>
  </si>
  <si>
    <r>
      <t>Spike Composition:</t>
    </r>
    <r>
      <rPr>
        <i/>
        <u/>
        <sz val="14"/>
        <rFont val="Arial"/>
        <family val="2"/>
      </rPr>
      <t xml:space="preserve"> grey cells from</t>
    </r>
    <r>
      <rPr>
        <b/>
        <i/>
        <u/>
        <sz val="14"/>
        <rFont val="Arial"/>
        <family val="2"/>
      </rPr>
      <t xml:space="preserve"> </t>
    </r>
    <r>
      <rPr>
        <b/>
        <u/>
        <sz val="14"/>
        <rFont val="Arial"/>
        <family val="2"/>
      </rPr>
      <t>"Laboratory and Sample Constants"</t>
    </r>
  </si>
  <si>
    <t>FPb(25) calc</t>
  </si>
  <si>
    <t>FU(35) calc</t>
  </si>
  <si>
    <t>FPb(25)</t>
  </si>
  <si>
    <t>FU(35)</t>
  </si>
  <si>
    <t>± 95% c.i.*</t>
  </si>
  <si>
    <t>Radiogenic Isotope Ratios</t>
  </si>
  <si>
    <t>Compositional Parameters</t>
  </si>
  <si>
    <r>
      <t>± 1</t>
    </r>
    <r>
      <rPr>
        <b/>
        <sz val="12"/>
        <rFont val="Symbol"/>
        <charset val="2"/>
      </rPr>
      <t>s</t>
    </r>
    <r>
      <rPr>
        <b/>
        <sz val="12"/>
        <rFont val="Arial"/>
        <family val="2"/>
      </rPr>
      <t xml:space="preserve"> [abs]</t>
    </r>
  </si>
  <si>
    <r>
      <t>Pb206</t>
    </r>
    <r>
      <rPr>
        <b/>
        <sz val="12"/>
        <rFont val="Symbol"/>
        <charset val="2"/>
      </rPr>
      <t>S</t>
    </r>
    <r>
      <rPr>
        <b/>
        <sz val="12"/>
        <rFont val="Arial"/>
        <family val="2"/>
      </rPr>
      <t xml:space="preserve"> [mol]</t>
    </r>
  </si>
  <si>
    <r>
      <t>s</t>
    </r>
    <r>
      <rPr>
        <b/>
        <sz val="12"/>
        <rFont val="Arial"/>
        <family val="2"/>
      </rPr>
      <t>Pb206b</t>
    </r>
  </si>
  <si>
    <r>
      <t>s</t>
    </r>
    <r>
      <rPr>
        <b/>
        <sz val="12"/>
        <rFont val="Arial"/>
        <family val="2"/>
      </rPr>
      <t>U238b</t>
    </r>
  </si>
  <si>
    <r>
      <t>s</t>
    </r>
    <r>
      <rPr>
        <b/>
        <sz val="12"/>
        <rFont val="Arial"/>
        <family val="2"/>
      </rPr>
      <t>FPb</t>
    </r>
  </si>
  <si>
    <r>
      <t>s</t>
    </r>
    <r>
      <rPr>
        <b/>
        <sz val="12"/>
        <rFont val="Arial"/>
        <family val="2"/>
      </rPr>
      <t>FU</t>
    </r>
  </si>
  <si>
    <t>U blank AW</t>
  </si>
  <si>
    <r>
      <t>(d/d)*</t>
    </r>
    <r>
      <rPr>
        <b/>
        <sz val="12"/>
        <rFont val="Symbol"/>
        <charset val="2"/>
      </rPr>
      <t>s</t>
    </r>
  </si>
  <si>
    <r>
      <t>(d6/d4)*</t>
    </r>
    <r>
      <rPr>
        <b/>
        <sz val="12"/>
        <rFont val="Symbol"/>
        <charset val="2"/>
      </rPr>
      <t>s</t>
    </r>
    <r>
      <rPr>
        <b/>
        <sz val="12"/>
        <rFont val="Arial"/>
        <family val="2"/>
      </rPr>
      <t>^2</t>
    </r>
  </si>
  <si>
    <r>
      <t>S</t>
    </r>
    <r>
      <rPr>
        <b/>
        <sz val="12"/>
        <rFont val="Arial"/>
        <family val="2"/>
      </rPr>
      <t>(d6/d4)*</t>
    </r>
    <r>
      <rPr>
        <b/>
        <sz val="12"/>
        <rFont val="Symbol"/>
        <charset val="2"/>
      </rPr>
      <t>s</t>
    </r>
    <r>
      <rPr>
        <b/>
        <sz val="12"/>
        <rFont val="Arial"/>
        <family val="2"/>
      </rPr>
      <t>^2</t>
    </r>
  </si>
  <si>
    <r>
      <t>(</t>
    </r>
    <r>
      <rPr>
        <b/>
        <sz val="12"/>
        <rFont val="Symbol"/>
        <charset val="2"/>
      </rPr>
      <t>s</t>
    </r>
    <r>
      <rPr>
        <b/>
        <sz val="12"/>
        <rFont val="Arial"/>
        <family val="2"/>
      </rPr>
      <t>Pb206s/Pb206s)^2</t>
    </r>
  </si>
  <si>
    <r>
      <t>(</t>
    </r>
    <r>
      <rPr>
        <b/>
        <sz val="12"/>
        <rFont val="Symbol"/>
        <charset val="2"/>
      </rPr>
      <t>s</t>
    </r>
    <r>
      <rPr>
        <b/>
        <sz val="12"/>
        <rFont val="Arial"/>
        <family val="2"/>
      </rPr>
      <t>Pb204c/Pb204c)^2</t>
    </r>
  </si>
  <si>
    <r>
      <t>(d7/d4)*</t>
    </r>
    <r>
      <rPr>
        <b/>
        <sz val="12"/>
        <rFont val="Symbol"/>
        <charset val="2"/>
      </rPr>
      <t>s</t>
    </r>
    <r>
      <rPr>
        <b/>
        <sz val="12"/>
        <rFont val="Arial"/>
        <family val="2"/>
      </rPr>
      <t>^2</t>
    </r>
  </si>
  <si>
    <r>
      <t>S</t>
    </r>
    <r>
      <rPr>
        <b/>
        <sz val="12"/>
        <rFont val="Arial"/>
        <family val="2"/>
      </rPr>
      <t>(d7/d4)*</t>
    </r>
    <r>
      <rPr>
        <b/>
        <sz val="12"/>
        <rFont val="Symbol"/>
        <charset val="2"/>
      </rPr>
      <t>s</t>
    </r>
    <r>
      <rPr>
        <b/>
        <sz val="12"/>
        <rFont val="Arial"/>
        <family val="2"/>
      </rPr>
      <t>^2</t>
    </r>
  </si>
  <si>
    <r>
      <t>(</t>
    </r>
    <r>
      <rPr>
        <b/>
        <sz val="12"/>
        <rFont val="Symbol"/>
        <charset val="2"/>
      </rPr>
      <t>s</t>
    </r>
    <r>
      <rPr>
        <b/>
        <sz val="12"/>
        <rFont val="Arial"/>
        <family val="2"/>
      </rPr>
      <t>Pb207s/Pb207s)^2</t>
    </r>
  </si>
  <si>
    <t>Pb Blank Composition</t>
  </si>
  <si>
    <t>208Pb/204Pb</t>
  </si>
  <si>
    <t>[mol/g]</t>
  </si>
  <si>
    <t>Sample Name</t>
  </si>
  <si>
    <t>Initial Pb Composition</t>
  </si>
  <si>
    <r>
      <t>238</t>
    </r>
    <r>
      <rPr>
        <b/>
        <sz val="10"/>
        <rFont val="Arial"/>
        <family val="2"/>
      </rPr>
      <t>U/</t>
    </r>
    <r>
      <rPr>
        <b/>
        <vertAlign val="superscript"/>
        <sz val="10"/>
        <rFont val="Arial"/>
        <family val="2"/>
      </rPr>
      <t>233</t>
    </r>
    <r>
      <rPr>
        <b/>
        <sz val="10"/>
        <rFont val="Arial"/>
        <family val="2"/>
      </rPr>
      <t>U</t>
    </r>
  </si>
  <si>
    <t>Age Estimate</t>
  </si>
  <si>
    <t>Ga (for Stacey-Kramers)</t>
  </si>
  <si>
    <t>U-Th-Pb isotopic data</t>
  </si>
  <si>
    <r>
      <t>s</t>
    </r>
    <r>
      <rPr>
        <sz val="12"/>
        <rFont val="Arial"/>
        <family val="2"/>
      </rPr>
      <t>Pb208r (abs)</t>
    </r>
  </si>
  <si>
    <r>
      <t>s</t>
    </r>
    <r>
      <rPr>
        <sz val="12"/>
        <rFont val="Arial"/>
        <family val="2"/>
      </rPr>
      <t>Pb208r (%)</t>
    </r>
  </si>
  <si>
    <r>
      <t>s</t>
    </r>
    <r>
      <rPr>
        <sz val="12"/>
        <rFont val="Arial"/>
        <family val="2"/>
      </rPr>
      <t>Th232s (abs)</t>
    </r>
  </si>
  <si>
    <r>
      <t>s</t>
    </r>
    <r>
      <rPr>
        <sz val="12"/>
        <rFont val="Arial"/>
        <family val="2"/>
      </rPr>
      <t>Th232s (%)</t>
    </r>
  </si>
  <si>
    <r>
      <t>s</t>
    </r>
    <r>
      <rPr>
        <b/>
        <sz val="12"/>
        <rFont val="Arial"/>
        <family val="2"/>
      </rPr>
      <t>RPb85m</t>
    </r>
  </si>
  <si>
    <r>
      <t>s</t>
    </r>
    <r>
      <rPr>
        <b/>
        <sz val="12"/>
        <rFont val="Arial"/>
        <family val="2"/>
      </rPr>
      <t>RPb84m</t>
    </r>
  </si>
  <si>
    <r>
      <t>s</t>
    </r>
    <r>
      <rPr>
        <b/>
        <sz val="12"/>
        <rFont val="Arial"/>
        <family val="2"/>
      </rPr>
      <t>RPb85t</t>
    </r>
  </si>
  <si>
    <r>
      <t>s</t>
    </r>
    <r>
      <rPr>
        <b/>
        <sz val="12"/>
        <rFont val="Arial"/>
        <family val="2"/>
      </rPr>
      <t>RPb84t</t>
    </r>
  </si>
  <si>
    <r>
      <t>s</t>
    </r>
    <r>
      <rPr>
        <b/>
        <sz val="12"/>
        <rFont val="Arial"/>
        <family val="2"/>
      </rPr>
      <t>U238s -- FU(35)</t>
    </r>
  </si>
  <si>
    <t>dU238s/dR83m</t>
  </si>
  <si>
    <t>dU238s/dR83t</t>
  </si>
  <si>
    <t>U23Xt [mol/g] (X=3, 5 or 6)</t>
  </si>
  <si>
    <t>U23Xt [mol] (X=3, 5 or 6)</t>
  </si>
  <si>
    <t>U238s calc (233 spike)</t>
  </si>
  <si>
    <t>U238s calc (236 spike)</t>
  </si>
  <si>
    <t>U238s calc (235 spike)</t>
  </si>
  <si>
    <t>U238s calc (3-6 spike)</t>
  </si>
  <si>
    <t>U238s calc (3-5 spike)</t>
  </si>
  <si>
    <r>
      <t>Initial Pb Composition:</t>
    </r>
    <r>
      <rPr>
        <i/>
        <sz val="14"/>
        <rFont val="Arial"/>
        <family val="2"/>
      </rPr>
      <t xml:space="preserve"> grey cells from "</t>
    </r>
    <r>
      <rPr>
        <b/>
        <sz val="14"/>
        <rFont val="Arial"/>
        <family val="2"/>
      </rPr>
      <t>Laboratory and Sample Constants"</t>
    </r>
  </si>
  <si>
    <r>
      <t>Pb Blank Composition:</t>
    </r>
    <r>
      <rPr>
        <i/>
        <sz val="14"/>
        <rFont val="Arial"/>
        <family val="2"/>
      </rPr>
      <t xml:space="preserve">  grey cells from </t>
    </r>
    <r>
      <rPr>
        <b/>
        <sz val="14"/>
        <rFont val="Arial"/>
        <family val="2"/>
      </rPr>
      <t>"Laboratory and Sample Constants"</t>
    </r>
  </si>
  <si>
    <t>% err</t>
  </si>
  <si>
    <t>coef.</t>
  </si>
  <si>
    <t xml:space="preserve">± </t>
  </si>
  <si>
    <t>(a)</t>
  </si>
  <si>
    <t>(b)</t>
  </si>
  <si>
    <t>(c)</t>
  </si>
  <si>
    <t>(d)</t>
  </si>
  <si>
    <t>(e)</t>
  </si>
  <si>
    <t>(f)</t>
  </si>
  <si>
    <t>(g)</t>
  </si>
  <si>
    <t>Pb* (pg)</t>
  </si>
  <si>
    <t>Pb total (ppm)</t>
  </si>
  <si>
    <t>mol %</t>
  </si>
  <si>
    <t>Sample (Radiogenic + Initial Pb) Isotope Ratios</t>
  </si>
  <si>
    <r>
      <t>238</t>
    </r>
    <r>
      <rPr>
        <u/>
        <sz val="8"/>
        <rFont val="Times New Roman"/>
        <family val="1"/>
      </rPr>
      <t>U</t>
    </r>
  </si>
  <si>
    <r>
      <t>%/amu ± 1</t>
    </r>
    <r>
      <rPr>
        <b/>
        <sz val="10"/>
        <rFont val="Symbol"/>
        <charset val="2"/>
      </rPr>
      <t>s</t>
    </r>
    <r>
      <rPr>
        <b/>
        <sz val="10"/>
        <rFont val="Arial"/>
        <family val="2"/>
      </rPr>
      <t xml:space="preserve"> [abs]</t>
    </r>
  </si>
  <si>
    <r>
      <t>(Th/U)</t>
    </r>
    <r>
      <rPr>
        <b/>
        <vertAlign val="subscript"/>
        <sz val="10"/>
        <rFont val="Arial"/>
        <family val="2"/>
      </rPr>
      <t>magma</t>
    </r>
  </si>
  <si>
    <r>
      <t>± 1</t>
    </r>
    <r>
      <rPr>
        <b/>
        <sz val="10"/>
        <rFont val="Symbol"/>
        <charset val="2"/>
      </rPr>
      <t>s</t>
    </r>
    <r>
      <rPr>
        <b/>
        <sz val="10"/>
        <rFont val="Arial"/>
        <family val="2"/>
      </rPr>
      <t xml:space="preserve"> [abs]</t>
    </r>
  </si>
  <si>
    <r>
      <t>[</t>
    </r>
    <r>
      <rPr>
        <b/>
        <vertAlign val="superscript"/>
        <sz val="10"/>
        <rFont val="Arial"/>
        <family val="2"/>
      </rPr>
      <t>230</t>
    </r>
    <r>
      <rPr>
        <b/>
        <sz val="10"/>
        <rFont val="Arial"/>
        <family val="2"/>
      </rPr>
      <t>Th/</t>
    </r>
    <r>
      <rPr>
        <b/>
        <vertAlign val="superscript"/>
        <sz val="10"/>
        <rFont val="Arial"/>
        <family val="2"/>
      </rPr>
      <t>238</t>
    </r>
    <r>
      <rPr>
        <b/>
        <sz val="10"/>
        <rFont val="Arial"/>
        <family val="2"/>
      </rPr>
      <t>U]</t>
    </r>
    <r>
      <rPr>
        <b/>
        <vertAlign val="subscript"/>
        <sz val="10"/>
        <rFont val="Arial"/>
        <family val="2"/>
      </rPr>
      <t>magma</t>
    </r>
  </si>
  <si>
    <r>
      <t>pg ± 1</t>
    </r>
    <r>
      <rPr>
        <b/>
        <sz val="10"/>
        <rFont val="Symbol"/>
        <charset val="2"/>
      </rPr>
      <t>s</t>
    </r>
    <r>
      <rPr>
        <b/>
        <sz val="10"/>
        <rFont val="Arial"/>
        <family val="2"/>
      </rPr>
      <t xml:space="preserve"> [%]</t>
    </r>
  </si>
  <si>
    <r>
      <t>l</t>
    </r>
    <r>
      <rPr>
        <b/>
        <sz val="10"/>
        <rFont val="Arial"/>
        <family val="2"/>
      </rPr>
      <t xml:space="preserve"> 235U</t>
    </r>
  </si>
  <si>
    <r>
      <t>± 1</t>
    </r>
    <r>
      <rPr>
        <b/>
        <sz val="10"/>
        <rFont val="Symbol"/>
        <charset val="2"/>
      </rPr>
      <t>s</t>
    </r>
    <r>
      <rPr>
        <b/>
        <sz val="10"/>
        <rFont val="Arial"/>
        <family val="2"/>
      </rPr>
      <t xml:space="preserve"> [%]</t>
    </r>
  </si>
  <si>
    <r>
      <t>l</t>
    </r>
    <r>
      <rPr>
        <b/>
        <sz val="10"/>
        <rFont val="Arial"/>
        <family val="2"/>
      </rPr>
      <t xml:space="preserve"> 238U</t>
    </r>
  </si>
  <si>
    <r>
      <t>l</t>
    </r>
    <r>
      <rPr>
        <b/>
        <sz val="10"/>
        <rFont val="Arial"/>
        <family val="2"/>
      </rPr>
      <t xml:space="preserve"> 232Th</t>
    </r>
  </si>
  <si>
    <r>
      <t>l</t>
    </r>
    <r>
      <rPr>
        <b/>
        <sz val="10"/>
        <rFont val="Arial"/>
        <family val="2"/>
      </rPr>
      <t xml:space="preserve"> 230Th</t>
    </r>
  </si>
  <si>
    <r>
      <t>D</t>
    </r>
    <r>
      <rPr>
        <b/>
        <vertAlign val="subscript"/>
        <sz val="10"/>
        <rFont val="Arial"/>
        <family val="2"/>
      </rPr>
      <t>Th/U</t>
    </r>
  </si>
  <si>
    <t>"magma" or "D"?</t>
  </si>
  <si>
    <r>
      <t>* 95% conf. int. =</t>
    </r>
    <r>
      <rPr>
        <b/>
        <sz val="9"/>
        <rFont val="Symbol"/>
        <family val="1"/>
      </rPr>
      <t xml:space="preserve"> s</t>
    </r>
    <r>
      <rPr>
        <b/>
        <sz val="9"/>
        <rFont val="Symbol"/>
        <family val="1"/>
      </rPr>
      <t xml:space="preserve"> </t>
    </r>
    <r>
      <rPr>
        <b/>
        <sz val="9"/>
        <rFont val="Arial"/>
        <family val="2"/>
      </rPr>
      <t>* Student's T * (MSWD)^0.5</t>
    </r>
  </si>
  <si>
    <t>Student's t critical value (95% c.f.)</t>
  </si>
  <si>
    <t>Chauvenet's criterion</t>
  </si>
  <si>
    <t>Thompson's Tau rejection region</t>
  </si>
  <si>
    <t>206/204 D  (Mean, %StdErr)</t>
  </si>
  <si>
    <t>TT</t>
  </si>
  <si>
    <t>CC</t>
  </si>
  <si>
    <t>TT = Thomson's Tau rejection</t>
  </si>
  <si>
    <t>CC = Chauvenet' criterion</t>
  </si>
  <si>
    <t>ND = Normalized Deviation</t>
  </si>
  <si>
    <t>ND</t>
  </si>
  <si>
    <t>6/4-7/4</t>
  </si>
  <si>
    <t>rho (6/4-7/4)</t>
  </si>
  <si>
    <t>BSU1B</t>
  </si>
  <si>
    <t>206/207 D  (Mean, %StdErr)</t>
  </si>
  <si>
    <t>206/205 D  (Mean, %StdErr)</t>
  </si>
  <si>
    <t>207/205 D  (Mean, %StdErr)</t>
  </si>
  <si>
    <t>204/205 D  (Mean, %StdErr)</t>
  </si>
  <si>
    <t>208/205 D  (Mean, %StdErr)</t>
  </si>
  <si>
    <t>238/235 oxide R18 0.00206  (Mean, %StdErr)</t>
  </si>
  <si>
    <t>233/235 oxide R18 0.00206  (Mean, %StdErr)</t>
  </si>
  <si>
    <t>238/233 oxide  (Mean, %StdErr)</t>
  </si>
  <si>
    <t>DTh/DU</t>
  </si>
  <si>
    <r>
      <t>Corr. 206Pb/238U</t>
    </r>
    <r>
      <rPr>
        <b/>
        <sz val="9"/>
        <rFont val="Arial"/>
        <family val="2"/>
      </rPr>
      <t xml:space="preserve"> (wrt t75, magma)</t>
    </r>
  </si>
  <si>
    <r>
      <t xml:space="preserve">Corr. t68 </t>
    </r>
    <r>
      <rPr>
        <b/>
        <sz val="9"/>
        <rFont val="Arial"/>
        <family val="2"/>
      </rPr>
      <t>(wrt t75, magma)</t>
    </r>
  </si>
  <si>
    <r>
      <t>Corr. Th232s [mol]</t>
    </r>
    <r>
      <rPr>
        <b/>
        <sz val="9"/>
        <rFont val="Arial"/>
        <family val="2"/>
      </rPr>
      <t xml:space="preserve"> (wrt t75, magma)</t>
    </r>
  </si>
  <si>
    <r>
      <t>Corr. Th/U</t>
    </r>
    <r>
      <rPr>
        <b/>
        <sz val="9"/>
        <rFont val="Arial"/>
        <family val="2"/>
      </rPr>
      <t xml:space="preserve"> (wrt t75, magma)</t>
    </r>
  </si>
  <si>
    <r>
      <t>Corr. Pb206r [mol]</t>
    </r>
    <r>
      <rPr>
        <b/>
        <sz val="9"/>
        <rFont val="Arial"/>
        <family val="2"/>
      </rPr>
      <t xml:space="preserve"> (wrt t75, magma)</t>
    </r>
  </si>
  <si>
    <r>
      <t>Corr. 206Pb/238U</t>
    </r>
    <r>
      <rPr>
        <b/>
        <sz val="9"/>
        <rFont val="Arial"/>
        <family val="2"/>
      </rPr>
      <t xml:space="preserve"> (wrt t75, D)</t>
    </r>
  </si>
  <si>
    <r>
      <t xml:space="preserve">Corr. t68 </t>
    </r>
    <r>
      <rPr>
        <b/>
        <sz val="9"/>
        <rFont val="Arial"/>
        <family val="2"/>
      </rPr>
      <t>(wrt t75, D)</t>
    </r>
  </si>
  <si>
    <r>
      <t>Corr. Th232s [mol]</t>
    </r>
    <r>
      <rPr>
        <b/>
        <sz val="9"/>
        <rFont val="Arial"/>
        <family val="2"/>
      </rPr>
      <t xml:space="preserve"> (wrt t75, D)</t>
    </r>
  </si>
  <si>
    <r>
      <t>Corr. Th/U</t>
    </r>
    <r>
      <rPr>
        <b/>
        <sz val="9"/>
        <rFont val="Arial"/>
        <family val="2"/>
      </rPr>
      <t xml:space="preserve"> (wrt t75, D)</t>
    </r>
  </si>
  <si>
    <r>
      <t>Corr. Pb206r [mol]</t>
    </r>
    <r>
      <rPr>
        <b/>
        <sz val="9"/>
        <rFont val="Arial"/>
        <family val="2"/>
      </rPr>
      <t xml:space="preserve"> (wrt t75, D)</t>
    </r>
  </si>
  <si>
    <r>
      <t>Corr. 206Pb/238U</t>
    </r>
    <r>
      <rPr>
        <b/>
        <sz val="9"/>
        <rFont val="Arial"/>
        <family val="2"/>
      </rPr>
      <t xml:space="preserve"> (wrt t68, magma)</t>
    </r>
  </si>
  <si>
    <r>
      <t>Corr. t68</t>
    </r>
    <r>
      <rPr>
        <b/>
        <sz val="9"/>
        <rFont val="Arial"/>
        <family val="2"/>
      </rPr>
      <t xml:space="preserve"> (wrt t68, magma)</t>
    </r>
  </si>
  <si>
    <r>
      <t>Corr. Pb206r [mol]</t>
    </r>
    <r>
      <rPr>
        <b/>
        <sz val="9"/>
        <rFont val="Arial"/>
        <family val="2"/>
      </rPr>
      <t xml:space="preserve"> (wrt t68, magma)</t>
    </r>
  </si>
  <si>
    <r>
      <t xml:space="preserve">Corr. Th232s [mol] </t>
    </r>
    <r>
      <rPr>
        <b/>
        <sz val="9"/>
        <rFont val="Arial"/>
        <family val="2"/>
      </rPr>
      <t>(wrt t68, magma)</t>
    </r>
  </si>
  <si>
    <r>
      <t>Corr. Th/U</t>
    </r>
    <r>
      <rPr>
        <b/>
        <sz val="9"/>
        <rFont val="Arial"/>
        <family val="2"/>
      </rPr>
      <t xml:space="preserve"> (wrt t68, magma)</t>
    </r>
  </si>
  <si>
    <r>
      <t>Corr. 206Pb/238U</t>
    </r>
    <r>
      <rPr>
        <b/>
        <sz val="9"/>
        <rFont val="Arial"/>
        <family val="2"/>
      </rPr>
      <t xml:space="preserve"> (wrt t68, D)</t>
    </r>
  </si>
  <si>
    <r>
      <t>Corr. t68</t>
    </r>
    <r>
      <rPr>
        <b/>
        <sz val="9"/>
        <rFont val="Arial"/>
        <family val="2"/>
      </rPr>
      <t xml:space="preserve"> (wrt t68, D)</t>
    </r>
  </si>
  <si>
    <r>
      <t>Corr. Pb206r [mol]</t>
    </r>
    <r>
      <rPr>
        <b/>
        <sz val="9"/>
        <rFont val="Arial"/>
        <family val="2"/>
      </rPr>
      <t xml:space="preserve"> (wrt t68, D)</t>
    </r>
  </si>
  <si>
    <r>
      <t xml:space="preserve">Corr. Th232s [mol] </t>
    </r>
    <r>
      <rPr>
        <b/>
        <sz val="9"/>
        <rFont val="Arial"/>
        <family val="2"/>
      </rPr>
      <t>(wrt t68, D)</t>
    </r>
  </si>
  <si>
    <r>
      <t>Corr. Th/U</t>
    </r>
    <r>
      <rPr>
        <b/>
        <sz val="9"/>
        <rFont val="Arial"/>
        <family val="2"/>
      </rPr>
      <t xml:space="preserve"> (wrt t68, D)</t>
    </r>
  </si>
  <si>
    <t>Iter1 206Pb/238U (wrt t68, magma)</t>
  </si>
  <si>
    <t>Iter1 Th232s [mol] (wrt t68, magma)</t>
  </si>
  <si>
    <t>Iter1 Th/U (wrt t68, magma)</t>
  </si>
  <si>
    <t>Iter2 206Pb/238U (wrt t68, magma)</t>
  </si>
  <si>
    <t>Iter2 Th232s [mol] (wrt t68, magma)</t>
  </si>
  <si>
    <t>Iter2 Th/U (wrt t68, magma)</t>
  </si>
  <si>
    <t>Iter3 206Pb/238U (wrt t68, magma)</t>
  </si>
  <si>
    <t>Iter3 Th232s [mol] (wrt t68, magma)</t>
  </si>
  <si>
    <t>Iter3 Th/U (wrt t68, magma)</t>
  </si>
  <si>
    <t>Iter4 206Pb/238U (wrt t68, magma)</t>
  </si>
  <si>
    <t>Iter4 Th232s [mol] (wrt t68, magma)</t>
  </si>
  <si>
    <t>Iter4 Th/U (wrt t68, magma, magma)</t>
  </si>
  <si>
    <t>dR68dc/d[ThU]o</t>
  </si>
  <si>
    <t>R68dc (magma) calcs</t>
  </si>
  <si>
    <t>R68dc (D) calcs</t>
  </si>
  <si>
    <t>dR68dc/dDThU</t>
  </si>
  <si>
    <r>
      <t>D</t>
    </r>
    <r>
      <rPr>
        <b/>
        <sz val="12"/>
        <rFont val="Arial"/>
        <family val="2"/>
      </rPr>
      <t>t</t>
    </r>
    <r>
      <rPr>
        <b/>
        <vertAlign val="subscript"/>
        <sz val="12"/>
        <rFont val="Arial"/>
        <family val="2"/>
      </rPr>
      <t>230 (magma)</t>
    </r>
    <r>
      <rPr>
        <b/>
        <sz val="12"/>
        <rFont val="Arial"/>
        <family val="2"/>
      </rPr>
      <t xml:space="preserve"> (ka)</t>
    </r>
  </si>
  <si>
    <r>
      <t>± 1</t>
    </r>
    <r>
      <rPr>
        <b/>
        <sz val="12"/>
        <rFont val="Symbol"/>
        <charset val="2"/>
      </rPr>
      <t>s</t>
    </r>
    <r>
      <rPr>
        <b/>
        <sz val="12"/>
        <rFont val="Arial"/>
        <family val="2"/>
      </rPr>
      <t xml:space="preserve"> [abs] (ka)</t>
    </r>
  </si>
  <si>
    <t>± 1s [abs] (ka)</t>
  </si>
  <si>
    <r>
      <t>D</t>
    </r>
    <r>
      <rPr>
        <b/>
        <sz val="12"/>
        <rFont val="Arial"/>
        <family val="2"/>
      </rPr>
      <t>t</t>
    </r>
    <r>
      <rPr>
        <b/>
        <vertAlign val="subscript"/>
        <sz val="12"/>
        <rFont val="Arial"/>
        <family val="2"/>
      </rPr>
      <t>230 (D)</t>
    </r>
    <r>
      <rPr>
        <b/>
        <sz val="12"/>
        <rFont val="Arial"/>
        <family val="2"/>
      </rPr>
      <t xml:space="preserve"> (ka)</t>
    </r>
  </si>
  <si>
    <t>I0823</t>
  </si>
  <si>
    <t>15WZ1-2 t1</t>
  </si>
  <si>
    <t>15WZ1-2 t2</t>
  </si>
  <si>
    <t>15WZ1-2 t3a</t>
  </si>
  <si>
    <t>15WZ1-2 t3b</t>
  </si>
  <si>
    <t>15WZ1-2 t4</t>
  </si>
  <si>
    <t>15WZ1-2 t5</t>
  </si>
  <si>
    <t>15WZ1-2 t6</t>
  </si>
  <si>
    <t>15WZ1-2 t7</t>
  </si>
  <si>
    <t>x</t>
  </si>
  <si>
    <t>sample name</t>
  </si>
  <si>
    <t>207Pb*/206Pb* Variance Contributions</t>
  </si>
  <si>
    <t>206Pb*/238U Variance Contributions</t>
  </si>
  <si>
    <t>(sigR76/R76)^2</t>
  </si>
  <si>
    <t>z1a</t>
  </si>
  <si>
    <t>z1b</t>
  </si>
  <si>
    <t>z2</t>
  </si>
  <si>
    <t>z3</t>
  </si>
  <si>
    <t>z4</t>
  </si>
  <si>
    <t>z5</t>
  </si>
  <si>
    <t>z6</t>
  </si>
  <si>
    <t>ET535</t>
  </si>
  <si>
    <t>z9a</t>
  </si>
  <si>
    <t>z9b</t>
  </si>
  <si>
    <t>z10a</t>
  </si>
  <si>
    <t>z10b</t>
  </si>
  <si>
    <t>z11a</t>
  </si>
  <si>
    <t>z11b</t>
  </si>
  <si>
    <t>z12a</t>
  </si>
  <si>
    <t>z12b</t>
  </si>
  <si>
    <t>z13</t>
  </si>
  <si>
    <t>ET2535</t>
  </si>
  <si>
    <t>202/205 D  (Mean, %StdErr)</t>
  </si>
  <si>
    <t>Ellipses: Wetherill-X</t>
  </si>
  <si>
    <t>Ellipses: Wetherill-Y</t>
  </si>
  <si>
    <t>Ellipses: Tera-Wasserburg-X</t>
  </si>
  <si>
    <t>Ellipses: Tera-Wasserburg-Y</t>
  </si>
  <si>
    <t>P035</t>
  </si>
  <si>
    <t>z1</t>
  </si>
  <si>
    <t>F</t>
  </si>
  <si>
    <t>206/204 corrected  (Mean, %StdErr)</t>
  </si>
  <si>
    <t>206/207 average  (Mean, %StdErr)</t>
  </si>
  <si>
    <t>206/205 S1  (Mean, %StdErr)</t>
  </si>
  <si>
    <t>207/205 S1  (Mean, %StdErr)</t>
  </si>
  <si>
    <t>204/205 corrected  (Mean, %StdErr)</t>
  </si>
  <si>
    <t>208/205 S1  (Mean, %StdErr)</t>
  </si>
  <si>
    <t>dPb76r/dR65m %</t>
  </si>
  <si>
    <t>dPb76r/dR65m var</t>
  </si>
  <si>
    <t>dPb76r/dR76m %</t>
  </si>
  <si>
    <t>dPb76r/dR76m var</t>
  </si>
  <si>
    <t>dPb76r/dR46m %</t>
  </si>
  <si>
    <t>dPb76r/dR46m var</t>
  </si>
  <si>
    <t>dPb76r/dR65t %</t>
  </si>
  <si>
    <t>dPb76r/dR65t var</t>
  </si>
  <si>
    <t>dPb76r/dR76t %</t>
  </si>
  <si>
    <t>dPb76r/dR76t var</t>
  </si>
  <si>
    <t>dPb76r/dR45t %</t>
  </si>
  <si>
    <t>dPb76r/dR45t var</t>
  </si>
  <si>
    <t>dPb76r/dF %</t>
  </si>
  <si>
    <t>dPb76r/dF var</t>
  </si>
  <si>
    <t>dPb76r/dPb206b %</t>
  </si>
  <si>
    <t>dPb76r/dPb206b var</t>
  </si>
  <si>
    <t>dPb76r/dR64b %</t>
  </si>
  <si>
    <t>dPb76r/dR64b var</t>
  </si>
  <si>
    <t>dPb76r/dR76c %</t>
  </si>
  <si>
    <t>dPb76r/dR76c var</t>
  </si>
  <si>
    <t>dPb76r/dR64c %</t>
  </si>
  <si>
    <t>dPb76r/dR64c var</t>
  </si>
  <si>
    <t>dPb206r/dR65m %</t>
  </si>
  <si>
    <t>dPb206r/dR65m var</t>
  </si>
  <si>
    <t>dPb206r/dR46m %</t>
  </si>
  <si>
    <t>dPb206r/dR46m var</t>
  </si>
  <si>
    <t>dPb206r/dF %</t>
  </si>
  <si>
    <t>dPb206r/dF var</t>
  </si>
  <si>
    <t>dPb206r/dPb206b %</t>
  </si>
  <si>
    <t>dPb206r/dPb206b var</t>
  </si>
  <si>
    <t>dPb206r/dR64b %</t>
  </si>
  <si>
    <t>dPb206r/dR64b var</t>
  </si>
  <si>
    <t>dPb206r/dR64c %</t>
  </si>
  <si>
    <t>dPb206r/dR64c var</t>
  </si>
  <si>
    <t>dU238s/dR85m %</t>
  </si>
  <si>
    <t>dU238s/dR85m var</t>
  </si>
  <si>
    <t>dU238s/dFU %</t>
  </si>
  <si>
    <t>dU238s/dFU var</t>
  </si>
  <si>
    <t>dU238s/dU238b %</t>
  </si>
  <si>
    <t>dU238s/dU238b var</t>
  </si>
  <si>
    <t>dR68dc/dTUz %</t>
  </si>
  <si>
    <t>dR68dc/dTUz var</t>
  </si>
  <si>
    <t>dR68dc/dTUm %</t>
  </si>
  <si>
    <t>dR68dc/dTUm var</t>
  </si>
  <si>
    <t>dR68dc/d[ThU]o %</t>
  </si>
  <si>
    <t>dR68dc/d[ThU]o var</t>
  </si>
  <si>
    <t>(206/205)m</t>
  </si>
  <si>
    <t>(204/206)m</t>
  </si>
  <si>
    <t>206Pb blank</t>
  </si>
  <si>
    <t>(206/204)b</t>
  </si>
  <si>
    <t>(206/204)c</t>
  </si>
  <si>
    <t>FU</t>
  </si>
  <si>
    <t>FPb</t>
  </si>
  <si>
    <t>(238/235)m</t>
  </si>
  <si>
    <t>238U blank</t>
  </si>
  <si>
    <t>(206/205)t</t>
  </si>
  <si>
    <t>(204/205)t</t>
  </si>
  <si>
    <t>(Th/U)zircon</t>
  </si>
  <si>
    <t>(Th/U)magma</t>
  </si>
  <si>
    <t>(Th/U)initial</t>
  </si>
  <si>
    <r>
      <rPr>
        <vertAlign val="superscript"/>
        <sz val="16"/>
        <rFont val="Arial"/>
        <family val="2"/>
      </rPr>
      <t>206</t>
    </r>
    <r>
      <rPr>
        <sz val="16"/>
        <rFont val="Arial"/>
        <family val="2"/>
      </rPr>
      <t>Pb/</t>
    </r>
    <r>
      <rPr>
        <vertAlign val="superscript"/>
        <sz val="16"/>
        <rFont val="Arial"/>
        <family val="2"/>
      </rPr>
      <t>238</t>
    </r>
    <r>
      <rPr>
        <sz val="16"/>
        <rFont val="Arial"/>
        <family val="2"/>
      </rPr>
      <t>U variance contributions</t>
    </r>
  </si>
  <si>
    <r>
      <rPr>
        <vertAlign val="superscript"/>
        <sz val="16"/>
        <rFont val="Arial"/>
        <family val="2"/>
      </rPr>
      <t>207</t>
    </r>
    <r>
      <rPr>
        <sz val="16"/>
        <rFont val="Arial"/>
        <family val="2"/>
      </rPr>
      <t>Pb/</t>
    </r>
    <r>
      <rPr>
        <vertAlign val="superscript"/>
        <sz val="16"/>
        <rFont val="Arial"/>
        <family val="2"/>
      </rPr>
      <t>206</t>
    </r>
    <r>
      <rPr>
        <sz val="16"/>
        <rFont val="Arial"/>
        <family val="2"/>
      </rPr>
      <t>Pb variance contributions</t>
    </r>
  </si>
  <si>
    <t>(207/206)m</t>
  </si>
  <si>
    <t>(207/206)c</t>
  </si>
  <si>
    <t>(207/206)t</t>
  </si>
  <si>
    <t>Offline Uoxide Corrector (233U-235U spike)</t>
  </si>
  <si>
    <t>Measured, uncorrected</t>
  </si>
  <si>
    <t>270/267</t>
  </si>
  <si>
    <t>265/267</t>
  </si>
  <si>
    <r>
      <t>Corrected for U(</t>
    </r>
    <r>
      <rPr>
        <b/>
        <i/>
        <vertAlign val="superscript"/>
        <sz val="10"/>
        <rFont val="Arial"/>
        <family val="2"/>
      </rPr>
      <t>18</t>
    </r>
    <r>
      <rPr>
        <b/>
        <i/>
        <sz val="10"/>
        <rFont val="Arial"/>
        <family val="2"/>
      </rPr>
      <t>O+</t>
    </r>
    <r>
      <rPr>
        <b/>
        <i/>
        <vertAlign val="superscript"/>
        <sz val="10"/>
        <rFont val="Arial"/>
        <family val="2"/>
      </rPr>
      <t>16</t>
    </r>
    <r>
      <rPr>
        <b/>
        <i/>
        <sz val="10"/>
        <rFont val="Arial"/>
        <family val="2"/>
      </rPr>
      <t>O) interference on U</t>
    </r>
    <r>
      <rPr>
        <b/>
        <i/>
        <vertAlign val="superscript"/>
        <sz val="10"/>
        <rFont val="Arial"/>
        <family val="2"/>
      </rPr>
      <t>16</t>
    </r>
    <r>
      <rPr>
        <b/>
        <i/>
        <sz val="10"/>
        <rFont val="Arial"/>
        <family val="2"/>
      </rPr>
      <t>O</t>
    </r>
    <r>
      <rPr>
        <b/>
        <i/>
        <vertAlign val="subscript"/>
        <sz val="10"/>
        <rFont val="Arial"/>
        <family val="2"/>
      </rPr>
      <t>2</t>
    </r>
  </si>
  <si>
    <r>
      <t>238</t>
    </r>
    <r>
      <rPr>
        <b/>
        <i/>
        <sz val="12"/>
        <rFont val="Arial"/>
        <family val="2"/>
      </rPr>
      <t>U/</t>
    </r>
    <r>
      <rPr>
        <b/>
        <i/>
        <vertAlign val="superscript"/>
        <sz val="12"/>
        <rFont val="Arial"/>
        <family val="2"/>
      </rPr>
      <t>235</t>
    </r>
    <r>
      <rPr>
        <b/>
        <i/>
        <sz val="12"/>
        <rFont val="Arial"/>
        <family val="2"/>
      </rPr>
      <t>U</t>
    </r>
  </si>
  <si>
    <r>
      <t>233</t>
    </r>
    <r>
      <rPr>
        <b/>
        <i/>
        <sz val="12"/>
        <rFont val="Arial"/>
        <family val="2"/>
      </rPr>
      <t>U/</t>
    </r>
    <r>
      <rPr>
        <b/>
        <i/>
        <vertAlign val="superscript"/>
        <sz val="12"/>
        <rFont val="Arial"/>
        <family val="2"/>
      </rPr>
      <t>235</t>
    </r>
    <r>
      <rPr>
        <b/>
        <i/>
        <sz val="12"/>
        <rFont val="Arial"/>
        <family val="2"/>
      </rPr>
      <t>U</t>
    </r>
  </si>
  <si>
    <r>
      <t xml:space="preserve">Uoxide </t>
    </r>
    <r>
      <rPr>
        <b/>
        <i/>
        <vertAlign val="superscript"/>
        <sz val="12"/>
        <rFont val="Arial"/>
        <family val="2"/>
      </rPr>
      <t>18</t>
    </r>
    <r>
      <rPr>
        <b/>
        <i/>
        <sz val="12"/>
        <rFont val="Arial"/>
        <family val="2"/>
      </rPr>
      <t>O/</t>
    </r>
    <r>
      <rPr>
        <b/>
        <i/>
        <vertAlign val="superscript"/>
        <sz val="12"/>
        <rFont val="Arial"/>
        <family val="2"/>
      </rPr>
      <t>16</t>
    </r>
    <r>
      <rPr>
        <b/>
        <i/>
        <sz val="12"/>
        <rFont val="Arial"/>
        <family val="2"/>
      </rPr>
      <t>O</t>
    </r>
  </si>
  <si>
    <r>
      <t>18</t>
    </r>
    <r>
      <rPr>
        <b/>
        <i/>
        <sz val="10"/>
        <rFont val="Arial"/>
        <family val="2"/>
      </rPr>
      <t>O/</t>
    </r>
    <r>
      <rPr>
        <b/>
        <i/>
        <vertAlign val="superscript"/>
        <sz val="10"/>
        <rFont val="Arial"/>
        <family val="2"/>
      </rPr>
      <t>16</t>
    </r>
    <r>
      <rPr>
        <b/>
        <i/>
        <sz val="10"/>
        <rFont val="Arial"/>
        <family val="2"/>
      </rPr>
      <t>O</t>
    </r>
  </si>
  <si>
    <t>IUPAC value</t>
  </si>
  <si>
    <t>Offline Uoxide Corrector (233U-236U spike)</t>
  </si>
  <si>
    <t>270/268</t>
  </si>
  <si>
    <t>265/268</t>
  </si>
  <si>
    <r>
      <t>238</t>
    </r>
    <r>
      <rPr>
        <b/>
        <i/>
        <sz val="12"/>
        <rFont val="Arial"/>
        <family val="2"/>
      </rPr>
      <t>U/</t>
    </r>
    <r>
      <rPr>
        <b/>
        <i/>
        <vertAlign val="superscript"/>
        <sz val="12"/>
        <rFont val="Arial"/>
        <family val="2"/>
      </rPr>
      <t>236</t>
    </r>
    <r>
      <rPr>
        <b/>
        <i/>
        <sz val="12"/>
        <rFont val="Arial"/>
        <family val="2"/>
      </rPr>
      <t>U</t>
    </r>
  </si>
  <si>
    <r>
      <t>233</t>
    </r>
    <r>
      <rPr>
        <b/>
        <i/>
        <sz val="12"/>
        <rFont val="Arial"/>
        <family val="2"/>
      </rPr>
      <t>U/</t>
    </r>
    <r>
      <rPr>
        <b/>
        <i/>
        <vertAlign val="superscript"/>
        <sz val="12"/>
        <rFont val="Arial"/>
        <family val="2"/>
      </rPr>
      <t>236</t>
    </r>
    <r>
      <rPr>
        <b/>
        <i/>
        <sz val="12"/>
        <rFont val="Arial"/>
        <family val="2"/>
      </rPr>
      <t>U</t>
    </r>
  </si>
  <si>
    <r>
      <t>± 1</t>
    </r>
    <r>
      <rPr>
        <b/>
        <sz val="10"/>
        <rFont val="Symbol"/>
        <charset val="2"/>
      </rPr>
      <t>s</t>
    </r>
    <r>
      <rPr>
        <b/>
        <sz val="10"/>
        <rFont val="Arial"/>
        <family val="2"/>
      </rPr>
      <t xml:space="preserve"> [%]</t>
    </r>
  </si>
  <si>
    <t>rho 6/4b-x/4b</t>
  </si>
  <si>
    <t>rho 6/4c-x/4c</t>
  </si>
  <si>
    <t>Name</t>
  </si>
  <si>
    <t>MIT1L</t>
  </si>
  <si>
    <t>Laser spot</t>
  </si>
  <si>
    <t>BSU000101</t>
  </si>
  <si>
    <t>Spike ID (1,2,3,4)</t>
  </si>
  <si>
    <t>Spike #1</t>
  </si>
  <si>
    <t>Spike #2</t>
  </si>
  <si>
    <t>Spike #3</t>
  </si>
  <si>
    <t>Spike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</si>
</sst>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0.000E+00"/>
    <numFmt numFmtId="165" formatCode="0.000"/>
    <numFmt numFmtId="166" formatCode="0.00000E+00"/>
    <numFmt numFmtId="167" formatCode="0.0000"/>
    <numFmt numFmtId="168" formatCode="0.0000E+00"/>
    <numFmt numFmtId="169" formatCode="0.000000"/>
    <numFmt numFmtId="170" formatCode="0.00000"/>
    <numFmt numFmtId="171" formatCode="0.0"/>
    <numFmt numFmtId="172" formatCode="0.0000E+00;\࡟"/>
    <numFmt numFmtId="173" formatCode="0.000E+00;\࡟"/>
    <numFmt numFmtId="174" formatCode="0.0E+00"/>
    <numFmt numFmtId="175" formatCode="0."/>
    <numFmt numFmtId="176" formatCode="&quot;± &quot;0.00"/>
    <numFmt numFmtId="177" formatCode="&quot;± &quot;0&quot;%&quot;"/>
    <numFmt numFmtId="178" formatCode="&quot;± &quot;0.00&quot;%&quot;"/>
    <numFmt numFmtId="179" formatCode="0.00E+00;\ꆱ"/>
    <numFmt numFmtId="180" formatCode="&quot;± &quot;0.000&quot;%&quot;"/>
    <numFmt numFmtId="181" formatCode="\(.000\)"/>
    <numFmt numFmtId="182" formatCode="0.000E+00;\ꆱ"/>
    <numFmt numFmtId="183" formatCode="&quot;± &quot;0.000"/>
  </numFmts>
  <fonts count="94" x14ac:knownFonts="1">
    <font>
      <sz val="10"/>
      <name val="Arial"/>
    </font>
    <font>
      <sz val="10"/>
      <name val="Arial"/>
      <family val="2"/>
    </font>
    <font>
      <i/>
      <sz val="14"/>
      <name val="Arial"/>
      <family val="2"/>
    </font>
    <font>
      <b/>
      <i/>
      <u/>
      <sz val="14"/>
      <name val="Arial"/>
      <family val="2"/>
    </font>
    <font>
      <b/>
      <sz val="14"/>
      <name val="Arial"/>
      <family val="2"/>
    </font>
    <font>
      <sz val="14"/>
      <name val="Arial"/>
      <family val="2"/>
    </font>
    <font>
      <b/>
      <sz val="12"/>
      <name val="Arial"/>
      <family val="2"/>
    </font>
    <font>
      <sz val="12"/>
      <name val="Arial"/>
      <family val="2"/>
    </font>
    <font>
      <b/>
      <sz val="12"/>
      <name val="Symbol"/>
      <charset val="2"/>
    </font>
    <font>
      <sz val="12"/>
      <name val="Symbol"/>
      <charset val="2"/>
    </font>
    <font>
      <b/>
      <i/>
      <u/>
      <sz val="12"/>
      <name val="Arial"/>
      <family val="2"/>
    </font>
    <font>
      <b/>
      <sz val="12"/>
      <name val="Arial"/>
      <family val="2"/>
    </font>
    <font>
      <b/>
      <sz val="10"/>
      <name val="Arial"/>
      <family val="2"/>
    </font>
    <font>
      <b/>
      <vertAlign val="superscript"/>
      <sz val="12"/>
      <name val="Arial"/>
      <family val="2"/>
    </font>
    <font>
      <sz val="8"/>
      <name val="Arial"/>
      <family val="2"/>
    </font>
    <font>
      <sz val="10"/>
      <name val="Arial"/>
      <family val="2"/>
    </font>
    <font>
      <b/>
      <sz val="12"/>
      <name val="Arial"/>
      <family val="2"/>
    </font>
    <font>
      <sz val="11"/>
      <name val="Arial"/>
      <family val="2"/>
    </font>
    <font>
      <sz val="12"/>
      <name val="Arial"/>
      <family val="2"/>
    </font>
    <font>
      <sz val="9"/>
      <name val="Times"/>
      <family val="1"/>
    </font>
    <font>
      <sz val="10"/>
      <name val="Arial"/>
      <family val="2"/>
    </font>
    <font>
      <b/>
      <i/>
      <sz val="12"/>
      <name val="Arial"/>
      <family val="2"/>
    </font>
    <font>
      <sz val="12"/>
      <name val="Times New Roman"/>
      <family val="1"/>
    </font>
    <font>
      <sz val="8"/>
      <name val="Times New Roman"/>
      <family val="1"/>
    </font>
    <font>
      <u/>
      <sz val="8"/>
      <name val="Times New Roman"/>
      <family val="1"/>
    </font>
    <font>
      <vertAlign val="subscript"/>
      <sz val="8"/>
      <name val="Times New Roman"/>
      <family val="1"/>
    </font>
    <font>
      <u/>
      <vertAlign val="superscript"/>
      <sz val="8"/>
      <name val="Times New Roman"/>
      <family val="1"/>
    </font>
    <font>
      <vertAlign val="superscript"/>
      <sz val="8"/>
      <name val="Times New Roman"/>
      <family val="1"/>
    </font>
    <font>
      <sz val="7"/>
      <name val="Times New Roman"/>
      <family val="1"/>
    </font>
    <font>
      <b/>
      <sz val="9"/>
      <name val="Times New Roman"/>
      <family val="1"/>
    </font>
    <font>
      <b/>
      <sz val="6"/>
      <name val="Times New Roman"/>
      <family val="1"/>
    </font>
    <font>
      <sz val="6"/>
      <name val="Times New Roman"/>
      <family val="1"/>
    </font>
    <font>
      <sz val="7"/>
      <color indexed="10"/>
      <name val="Times New Roman"/>
      <family val="1"/>
    </font>
    <font>
      <sz val="8"/>
      <color indexed="10"/>
      <name val="Times New Roman"/>
      <family val="1"/>
    </font>
    <font>
      <b/>
      <sz val="8"/>
      <name val="Times New Roman"/>
      <family val="1"/>
    </font>
    <font>
      <sz val="7"/>
      <color indexed="49"/>
      <name val="Times New Roman"/>
      <family val="1"/>
    </font>
    <font>
      <sz val="8"/>
      <color indexed="49"/>
      <name val="Times New Roman"/>
      <family val="1"/>
    </font>
    <font>
      <sz val="7"/>
      <color indexed="16"/>
      <name val="Times New Roman"/>
      <family val="1"/>
    </font>
    <font>
      <sz val="8"/>
      <name val="Times New Roman"/>
      <family val="1"/>
    </font>
    <font>
      <b/>
      <sz val="10"/>
      <name val="Arial"/>
      <family val="2"/>
    </font>
    <font>
      <b/>
      <vertAlign val="superscript"/>
      <sz val="10"/>
      <name val="Arial"/>
      <family val="2"/>
    </font>
    <font>
      <b/>
      <sz val="8"/>
      <name val="Arial"/>
      <family val="2"/>
    </font>
    <font>
      <b/>
      <sz val="10"/>
      <name val="Symbol"/>
      <charset val="2"/>
    </font>
    <font>
      <b/>
      <u/>
      <sz val="14"/>
      <name val="Arial"/>
      <family val="2"/>
    </font>
    <font>
      <i/>
      <u/>
      <sz val="14"/>
      <name val="Arial"/>
      <family val="2"/>
    </font>
    <font>
      <b/>
      <sz val="9"/>
      <name val="Arial"/>
      <family val="2"/>
    </font>
    <font>
      <sz val="9"/>
      <name val="Arial"/>
      <family val="2"/>
    </font>
    <font>
      <sz val="10"/>
      <name val="Arial"/>
      <family val="2"/>
    </font>
    <font>
      <sz val="8"/>
      <color indexed="42"/>
      <name val="Arial"/>
      <family val="2"/>
    </font>
    <font>
      <b/>
      <sz val="10"/>
      <color indexed="42"/>
      <name val="Arial"/>
      <family val="2"/>
    </font>
    <font>
      <sz val="10"/>
      <color indexed="42"/>
      <name val="Arial"/>
      <family val="2"/>
    </font>
    <font>
      <b/>
      <sz val="9"/>
      <color indexed="42"/>
      <name val="Arial"/>
      <family val="2"/>
    </font>
    <font>
      <sz val="9"/>
      <color indexed="42"/>
      <name val="Arial"/>
      <family val="2"/>
    </font>
    <font>
      <sz val="7"/>
      <color indexed="22"/>
      <name val="Times New Roman"/>
      <family val="1"/>
    </font>
    <font>
      <b/>
      <sz val="8"/>
      <name val="Symbol"/>
      <family val="1"/>
    </font>
    <font>
      <b/>
      <u/>
      <sz val="9"/>
      <name val="Arial"/>
      <family val="2"/>
    </font>
    <font>
      <sz val="9"/>
      <name val="Geneva"/>
      <family val="2"/>
      <charset val="1"/>
    </font>
    <font>
      <b/>
      <sz val="9"/>
      <name val="Verdana"/>
      <family val="2"/>
    </font>
    <font>
      <b/>
      <sz val="9"/>
      <name val="Symbol"/>
      <family val="1"/>
    </font>
    <font>
      <b/>
      <sz val="9"/>
      <name val="Arial"/>
      <family val="2"/>
    </font>
    <font>
      <sz val="9"/>
      <name val="Arial"/>
      <family val="2"/>
    </font>
    <font>
      <b/>
      <vertAlign val="superscript"/>
      <sz val="9"/>
      <name val="Arial"/>
      <family val="2"/>
    </font>
    <font>
      <sz val="10"/>
      <name val="Arial"/>
      <family val="2"/>
    </font>
    <font>
      <b/>
      <sz val="9"/>
      <color indexed="12"/>
      <name val="Symbol"/>
      <charset val="2"/>
    </font>
    <font>
      <b/>
      <sz val="9"/>
      <color indexed="12"/>
      <name val="Arial"/>
      <family val="2"/>
    </font>
    <font>
      <b/>
      <vertAlign val="superscript"/>
      <sz val="9"/>
      <color indexed="12"/>
      <name val="Arial"/>
      <family val="2"/>
    </font>
    <font>
      <b/>
      <u/>
      <sz val="10"/>
      <name val="Arial"/>
      <family val="2"/>
    </font>
    <font>
      <b/>
      <u/>
      <sz val="10"/>
      <name val="Symbol"/>
      <charset val="2"/>
    </font>
    <font>
      <b/>
      <i/>
      <sz val="11"/>
      <name val="Arial"/>
      <family val="2"/>
    </font>
    <font>
      <b/>
      <sz val="9"/>
      <name val="Arial"/>
      <family val="2"/>
    </font>
    <font>
      <sz val="10"/>
      <name val="Arial"/>
      <family val="2"/>
    </font>
    <font>
      <sz val="12"/>
      <name val="Arial"/>
      <family val="2"/>
    </font>
    <font>
      <b/>
      <sz val="10"/>
      <name val="Verdana"/>
      <family val="2"/>
    </font>
    <font>
      <sz val="10"/>
      <name val="Arial"/>
      <family val="2"/>
    </font>
    <font>
      <sz val="10"/>
      <name val="Arial"/>
      <family val="2"/>
    </font>
    <font>
      <b/>
      <vertAlign val="subscript"/>
      <sz val="10"/>
      <name val="Arial"/>
      <family val="2"/>
    </font>
    <font>
      <sz val="8"/>
      <color indexed="42"/>
      <name val="Arial"/>
      <family val="2"/>
    </font>
    <font>
      <sz val="10"/>
      <name val="Verdana"/>
      <family val="2"/>
    </font>
    <font>
      <sz val="9"/>
      <name val="Verdana"/>
      <family val="2"/>
    </font>
    <font>
      <sz val="8"/>
      <color indexed="8"/>
      <name val="Arial"/>
      <family val="2"/>
    </font>
    <font>
      <b/>
      <sz val="10"/>
      <name val="Symbol"/>
      <charset val="2"/>
    </font>
    <font>
      <b/>
      <sz val="12"/>
      <name val="Symbol"/>
      <charset val="2"/>
    </font>
    <font>
      <b/>
      <vertAlign val="subscript"/>
      <sz val="12"/>
      <name val="Arial"/>
      <family val="2"/>
    </font>
    <font>
      <sz val="16"/>
      <name val="Arial"/>
      <family val="2"/>
    </font>
    <font>
      <vertAlign val="superscript"/>
      <sz val="16"/>
      <name val="Arial"/>
      <family val="2"/>
    </font>
    <font>
      <sz val="12"/>
      <name val="Cambria"/>
      <family val="1"/>
    </font>
    <font>
      <b/>
      <i/>
      <sz val="10"/>
      <name val="Arial"/>
      <family val="2"/>
    </font>
    <font>
      <i/>
      <sz val="10"/>
      <name val="Arial"/>
      <family val="2"/>
    </font>
    <font>
      <b/>
      <i/>
      <vertAlign val="superscript"/>
      <sz val="10"/>
      <name val="Arial"/>
      <family val="2"/>
    </font>
    <font>
      <b/>
      <i/>
      <vertAlign val="subscript"/>
      <sz val="10"/>
      <name val="Arial"/>
      <family val="2"/>
    </font>
    <font>
      <b/>
      <i/>
      <vertAlign val="superscript"/>
      <sz val="12"/>
      <name val="Arial"/>
      <family val="2"/>
    </font>
    <font>
      <b/>
      <sz val="12"/>
      <color theme="0" tint="-0.34998626667073579"/>
      <name val="Arial"/>
      <family val="2"/>
    </font>
    <font>
      <sz val="12"/>
      <color theme="0" tint="-0.34998626667073579"/>
      <name val="Arial"/>
      <family val="2"/>
    </font>
    <font>
      <b/>
      <sz val="12"/>
      <color theme="3"/>
      <name val="Arial"/>
      <family val="2"/>
    </font>
  </fonts>
  <fills count="15">
    <fill>
      <patternFill patternType="none"/>
    </fill>
    <fill>
      <patternFill patternType="gray125"/>
    </fill>
    <fill>
      <patternFill patternType="solid">
        <fgColor indexed="45"/>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indexed="15"/>
        <bgColor indexed="64"/>
      </patternFill>
    </fill>
    <fill>
      <patternFill patternType="solid">
        <fgColor indexed="47"/>
        <bgColor indexed="64"/>
      </patternFill>
    </fill>
    <fill>
      <patternFill patternType="solid">
        <fgColor indexed="10"/>
        <bgColor indexed="64"/>
      </patternFill>
    </fill>
    <fill>
      <patternFill patternType="solid">
        <fgColor indexed="46"/>
        <bgColor indexed="64"/>
      </patternFill>
    </fill>
    <fill>
      <patternFill patternType="solid">
        <fgColor theme="0"/>
        <bgColor indexed="64"/>
      </patternFill>
    </fill>
    <fill>
      <patternFill patternType="solid">
        <fgColor theme="0" tint="-0.249977111117893"/>
        <bgColor indexed="64"/>
      </patternFill>
    </fill>
  </fills>
  <borders count="4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right/>
      <top style="thin">
        <color indexed="64"/>
      </top>
      <bottom style="medium">
        <color indexed="64"/>
      </bottom>
      <diagonal/>
    </border>
  </borders>
  <cellStyleXfs count="6">
    <xf numFmtId="0" fontId="0" fillId="0" borderId="0"/>
    <xf numFmtId="0" fontId="1" fillId="0" borderId="0"/>
    <xf numFmtId="0" fontId="56" fillId="0" borderId="0"/>
    <xf numFmtId="0" fontId="77" fillId="0" borderId="0"/>
    <xf numFmtId="9" fontId="1" fillId="0" borderId="0" applyFont="0" applyFill="0" applyBorder="0" applyAlignment="0" applyProtection="0"/>
    <xf numFmtId="0" fontId="19" fillId="0" borderId="0" applyNumberFormat="0" applyFont="0" applyFill="0" applyBorder="0" applyAlignment="0" applyProtection="0"/>
  </cellStyleXfs>
  <cellXfs count="800">
    <xf numFmtId="0" fontId="0" fillId="0" borderId="0" xfId="0"/>
    <xf numFmtId="0" fontId="3" fillId="0" borderId="0" xfId="0" applyFont="1" applyFill="1" applyAlignment="1">
      <alignment horizontal="left"/>
    </xf>
    <xf numFmtId="165" fontId="4" fillId="0" borderId="0" xfId="0" applyNumberFormat="1" applyFont="1" applyAlignment="1">
      <alignment horizontal="left"/>
    </xf>
    <xf numFmtId="0" fontId="5" fillId="0" borderId="0" xfId="0" applyFont="1" applyAlignment="1">
      <alignment horizontal="left"/>
    </xf>
    <xf numFmtId="0" fontId="6" fillId="0" borderId="0" xfId="0" applyFont="1" applyFill="1" applyAlignment="1">
      <alignment horizontal="left"/>
    </xf>
    <xf numFmtId="0" fontId="6" fillId="0" borderId="0" xfId="0" applyFont="1" applyFill="1"/>
    <xf numFmtId="0" fontId="6" fillId="0" borderId="0" xfId="0" applyFont="1" applyFill="1" applyAlignment="1">
      <alignment horizontal="center"/>
    </xf>
    <xf numFmtId="171" fontId="7" fillId="0" borderId="0" xfId="0" applyNumberFormat="1" applyFont="1"/>
    <xf numFmtId="169" fontId="6" fillId="0" borderId="0" xfId="0" applyNumberFormat="1" applyFont="1" applyFill="1"/>
    <xf numFmtId="169" fontId="6" fillId="2" borderId="0" xfId="0" applyNumberFormat="1" applyFont="1" applyFill="1"/>
    <xf numFmtId="169" fontId="7" fillId="2" borderId="0" xfId="0" applyNumberFormat="1" applyFont="1" applyFill="1"/>
    <xf numFmtId="165" fontId="6" fillId="2" borderId="0" xfId="0" applyNumberFormat="1" applyFont="1" applyFill="1"/>
    <xf numFmtId="0" fontId="7" fillId="2" borderId="0" xfId="0" applyFont="1" applyFill="1"/>
    <xf numFmtId="170" fontId="6" fillId="2" borderId="0" xfId="0" applyNumberFormat="1" applyFont="1" applyFill="1"/>
    <xf numFmtId="167" fontId="6" fillId="2" borderId="0" xfId="0" applyNumberFormat="1" applyFont="1" applyFill="1"/>
    <xf numFmtId="0" fontId="6" fillId="0" borderId="0" xfId="0" applyFont="1"/>
    <xf numFmtId="0" fontId="7" fillId="0" borderId="0" xfId="0" applyFont="1"/>
    <xf numFmtId="2" fontId="6" fillId="3" borderId="0" xfId="0" applyNumberFormat="1" applyFont="1" applyFill="1"/>
    <xf numFmtId="0" fontId="7" fillId="3" borderId="0" xfId="0" applyFont="1" applyFill="1"/>
    <xf numFmtId="165" fontId="6" fillId="0" borderId="0" xfId="0" applyNumberFormat="1" applyFont="1"/>
    <xf numFmtId="2" fontId="6" fillId="2" borderId="0" xfId="0" applyNumberFormat="1" applyFont="1" applyFill="1"/>
    <xf numFmtId="165" fontId="4" fillId="2" borderId="0" xfId="0" applyNumberFormat="1" applyFont="1" applyFill="1" applyAlignment="1">
      <alignment horizontal="left"/>
    </xf>
    <xf numFmtId="0" fontId="5" fillId="2" borderId="0" xfId="0" applyFont="1" applyFill="1" applyAlignment="1">
      <alignment horizontal="left"/>
    </xf>
    <xf numFmtId="165" fontId="6" fillId="0" borderId="0" xfId="0" applyNumberFormat="1" applyFont="1" applyFill="1" applyAlignment="1">
      <alignment horizontal="center"/>
    </xf>
    <xf numFmtId="165" fontId="7" fillId="2" borderId="0" xfId="0" applyNumberFormat="1" applyFont="1" applyFill="1"/>
    <xf numFmtId="0" fontId="7" fillId="0" borderId="0" xfId="0" applyFont="1" applyFill="1"/>
    <xf numFmtId="168" fontId="6" fillId="0" borderId="0" xfId="0" applyNumberFormat="1" applyFont="1"/>
    <xf numFmtId="0" fontId="9" fillId="0" borderId="0" xfId="0" applyFont="1" applyFill="1" applyAlignment="1">
      <alignment horizontal="center"/>
    </xf>
    <xf numFmtId="164" fontId="7" fillId="0" borderId="0" xfId="0" applyNumberFormat="1" applyFont="1"/>
    <xf numFmtId="172" fontId="6" fillId="0" borderId="0" xfId="0" applyNumberFormat="1" applyFont="1"/>
    <xf numFmtId="164" fontId="6" fillId="0" borderId="0" xfId="0" applyNumberFormat="1" applyFont="1"/>
    <xf numFmtId="0" fontId="8" fillId="0" borderId="0" xfId="0" applyFont="1" applyFill="1" applyAlignment="1">
      <alignment horizontal="center"/>
    </xf>
    <xf numFmtId="164" fontId="6" fillId="0" borderId="0" xfId="0" applyNumberFormat="1" applyFont="1" applyFill="1" applyAlignment="1">
      <alignment horizontal="center"/>
    </xf>
    <xf numFmtId="167" fontId="7" fillId="0" borderId="0" xfId="0" applyNumberFormat="1" applyFont="1" applyFill="1"/>
    <xf numFmtId="2" fontId="7" fillId="0" borderId="0" xfId="0" applyNumberFormat="1" applyFont="1"/>
    <xf numFmtId="1" fontId="7" fillId="0" borderId="0" xfId="0" applyNumberFormat="1" applyFont="1"/>
    <xf numFmtId="172" fontId="7" fillId="0" borderId="0" xfId="0" applyNumberFormat="1" applyFont="1"/>
    <xf numFmtId="10" fontId="6" fillId="0" borderId="0" xfId="0" applyNumberFormat="1" applyFont="1"/>
    <xf numFmtId="0" fontId="8" fillId="0" borderId="0" xfId="0" applyFont="1" applyFill="1"/>
    <xf numFmtId="164" fontId="7" fillId="0" borderId="0" xfId="0" applyNumberFormat="1" applyFont="1" applyFill="1"/>
    <xf numFmtId="0" fontId="6" fillId="0" borderId="0" xfId="0" applyFont="1" applyAlignment="1">
      <alignment horizontal="center"/>
    </xf>
    <xf numFmtId="0" fontId="10" fillId="0" borderId="0" xfId="0" applyFont="1" applyFill="1" applyAlignment="1">
      <alignment horizontal="center"/>
    </xf>
    <xf numFmtId="0" fontId="10" fillId="0" borderId="0" xfId="0" applyFont="1" applyAlignment="1">
      <alignment horizontal="center"/>
    </xf>
    <xf numFmtId="173" fontId="7" fillId="0" borderId="0" xfId="0" applyNumberFormat="1" applyFont="1"/>
    <xf numFmtId="0" fontId="11" fillId="0" borderId="0" xfId="0" applyFont="1" applyFill="1" applyAlignment="1">
      <alignment horizontal="center"/>
    </xf>
    <xf numFmtId="0" fontId="11" fillId="0" borderId="0" xfId="0" applyFont="1"/>
    <xf numFmtId="0" fontId="11" fillId="0" borderId="0" xfId="0" applyFont="1" applyFill="1" applyAlignment="1">
      <alignment horizontal="left"/>
    </xf>
    <xf numFmtId="0" fontId="12" fillId="0" borderId="0" xfId="0" applyFont="1"/>
    <xf numFmtId="166" fontId="7" fillId="0" borderId="0" xfId="0" applyNumberFormat="1" applyFont="1"/>
    <xf numFmtId="0" fontId="8" fillId="0" borderId="0" xfId="0" applyFont="1" applyFill="1" applyAlignment="1">
      <alignment horizontal="left"/>
    </xf>
    <xf numFmtId="0" fontId="7" fillId="0" borderId="0" xfId="0" applyFont="1" applyAlignment="1">
      <alignment horizontal="center"/>
    </xf>
    <xf numFmtId="166" fontId="7" fillId="0" borderId="0" xfId="0" applyNumberFormat="1" applyFont="1" applyFill="1"/>
    <xf numFmtId="165" fontId="4" fillId="0" borderId="0" xfId="0" applyNumberFormat="1" applyFont="1" applyFill="1" applyAlignment="1">
      <alignment horizontal="left"/>
    </xf>
    <xf numFmtId="2" fontId="7" fillId="0" borderId="0" xfId="0" applyNumberFormat="1" applyFont="1" applyFill="1"/>
    <xf numFmtId="165" fontId="6" fillId="3" borderId="0" xfId="0" applyNumberFormat="1" applyFont="1" applyFill="1"/>
    <xf numFmtId="165" fontId="4" fillId="0" borderId="0" xfId="0" applyNumberFormat="1" applyFont="1" applyAlignment="1">
      <alignment horizontal="center"/>
    </xf>
    <xf numFmtId="165" fontId="4" fillId="0" borderId="0" xfId="0" applyNumberFormat="1" applyFont="1" applyFill="1" applyAlignment="1">
      <alignment horizontal="center"/>
    </xf>
    <xf numFmtId="167" fontId="7" fillId="0" borderId="0" xfId="0" applyNumberFormat="1" applyFont="1" applyFill="1" applyAlignment="1">
      <alignment horizontal="center"/>
    </xf>
    <xf numFmtId="167" fontId="17" fillId="0" borderId="0" xfId="0" applyNumberFormat="1" applyFont="1" applyFill="1" applyBorder="1" applyAlignment="1">
      <alignment horizontal="center"/>
    </xf>
    <xf numFmtId="167" fontId="17" fillId="0" borderId="0" xfId="0" applyNumberFormat="1" applyFont="1" applyFill="1" applyAlignment="1">
      <alignment horizontal="center"/>
    </xf>
    <xf numFmtId="165" fontId="16" fillId="0" borderId="0" xfId="0" applyNumberFormat="1" applyFont="1" applyAlignment="1">
      <alignment horizontal="center"/>
    </xf>
    <xf numFmtId="165" fontId="7" fillId="0" borderId="0" xfId="0" applyNumberFormat="1" applyFont="1" applyFill="1" applyAlignment="1">
      <alignment horizontal="center"/>
    </xf>
    <xf numFmtId="166" fontId="7" fillId="0" borderId="0" xfId="0" applyNumberFormat="1" applyFont="1" applyFill="1" applyAlignment="1">
      <alignment horizontal="center"/>
    </xf>
    <xf numFmtId="2" fontId="7" fillId="0" borderId="0" xfId="0" applyNumberFormat="1" applyFont="1" applyFill="1" applyAlignment="1">
      <alignment horizontal="center"/>
    </xf>
    <xf numFmtId="164" fontId="7" fillId="0" borderId="0" xfId="0" applyNumberFormat="1" applyFont="1" applyFill="1" applyAlignment="1">
      <alignment horizontal="center"/>
    </xf>
    <xf numFmtId="170" fontId="18" fillId="0" borderId="0" xfId="0" applyNumberFormat="1" applyFont="1" applyFill="1" applyAlignment="1">
      <alignment horizontal="center"/>
    </xf>
    <xf numFmtId="169" fontId="16" fillId="2" borderId="0" xfId="0" applyNumberFormat="1" applyFont="1" applyFill="1"/>
    <xf numFmtId="165" fontId="16" fillId="2" borderId="0" xfId="0" applyNumberFormat="1" applyFont="1" applyFill="1"/>
    <xf numFmtId="170" fontId="16" fillId="2" borderId="0" xfId="0" applyNumberFormat="1" applyFont="1" applyFill="1"/>
    <xf numFmtId="167" fontId="16" fillId="2" borderId="0" xfId="0" applyNumberFormat="1" applyFont="1" applyFill="1"/>
    <xf numFmtId="0" fontId="16" fillId="0" borderId="0" xfId="0" applyFont="1"/>
    <xf numFmtId="2" fontId="16" fillId="0" borderId="0" xfId="0" applyNumberFormat="1" applyFont="1" applyFill="1"/>
    <xf numFmtId="2" fontId="16" fillId="3" borderId="0" xfId="0" applyNumberFormat="1" applyFont="1" applyFill="1"/>
    <xf numFmtId="165" fontId="16" fillId="3" borderId="0" xfId="0" applyNumberFormat="1" applyFont="1" applyFill="1"/>
    <xf numFmtId="165" fontId="16" fillId="0" borderId="0" xfId="0" applyNumberFormat="1" applyFont="1" applyFill="1"/>
    <xf numFmtId="2" fontId="16" fillId="2" borderId="0" xfId="0" applyNumberFormat="1" applyFont="1" applyFill="1"/>
    <xf numFmtId="168" fontId="16" fillId="0" borderId="0" xfId="0" applyNumberFormat="1" applyFont="1"/>
    <xf numFmtId="165" fontId="16" fillId="0" borderId="0" xfId="0" applyNumberFormat="1" applyFont="1"/>
    <xf numFmtId="172" fontId="16" fillId="0" borderId="0" xfId="0" applyNumberFormat="1" applyFont="1"/>
    <xf numFmtId="164" fontId="16" fillId="0" borderId="0" xfId="0" applyNumberFormat="1" applyFont="1"/>
    <xf numFmtId="10" fontId="16" fillId="0" borderId="0" xfId="0" applyNumberFormat="1" applyFont="1"/>
    <xf numFmtId="0" fontId="16" fillId="0" borderId="0" xfId="0" applyFont="1" applyAlignment="1">
      <alignment horizontal="center"/>
    </xf>
    <xf numFmtId="49" fontId="21" fillId="0" borderId="0" xfId="0" applyNumberFormat="1" applyFont="1" applyFill="1" applyBorder="1" applyAlignment="1">
      <alignment horizontal="center"/>
    </xf>
    <xf numFmtId="165" fontId="7" fillId="0" borderId="0" xfId="0" applyNumberFormat="1" applyFont="1" applyFill="1"/>
    <xf numFmtId="2" fontId="6" fillId="0" borderId="0" xfId="0" applyNumberFormat="1" applyFont="1" applyFill="1" applyAlignment="1">
      <alignment horizontal="center"/>
    </xf>
    <xf numFmtId="0" fontId="18" fillId="0" borderId="0" xfId="0" applyFont="1"/>
    <xf numFmtId="168" fontId="18" fillId="0" borderId="0" xfId="0" applyNumberFormat="1" applyFont="1"/>
    <xf numFmtId="0" fontId="18" fillId="0" borderId="0" xfId="0" applyNumberFormat="1" applyFont="1"/>
    <xf numFmtId="0" fontId="18" fillId="0" borderId="0" xfId="0" applyFont="1" applyFill="1"/>
    <xf numFmtId="0" fontId="22" fillId="0" borderId="0" xfId="0" applyFont="1" applyAlignment="1">
      <alignment horizontal="left"/>
    </xf>
    <xf numFmtId="2" fontId="12" fillId="0" borderId="0" xfId="0" applyNumberFormat="1" applyFont="1" applyAlignment="1">
      <alignment horizontal="center"/>
    </xf>
    <xf numFmtId="2" fontId="0" fillId="0" borderId="0" xfId="0" applyNumberFormat="1" applyAlignment="1">
      <alignment horizontal="center"/>
    </xf>
    <xf numFmtId="1" fontId="0" fillId="0" borderId="0" xfId="0" applyNumberFormat="1" applyAlignment="1">
      <alignment horizontal="center"/>
    </xf>
    <xf numFmtId="165" fontId="0" fillId="0" borderId="0" xfId="0" applyNumberFormat="1" applyAlignment="1">
      <alignment horizontal="center"/>
    </xf>
    <xf numFmtId="170" fontId="0" fillId="0" borderId="0" xfId="0" applyNumberFormat="1" applyAlignment="1"/>
    <xf numFmtId="169" fontId="0" fillId="0" borderId="0" xfId="0" applyNumberFormat="1" applyAlignment="1">
      <alignment horizontal="center"/>
    </xf>
    <xf numFmtId="171" fontId="0" fillId="0" borderId="0" xfId="0" applyNumberFormat="1" applyAlignment="1">
      <alignment horizontal="center"/>
    </xf>
    <xf numFmtId="0" fontId="1" fillId="0" borderId="0" xfId="0" applyFont="1" applyAlignment="1">
      <alignment horizontal="center"/>
    </xf>
    <xf numFmtId="0" fontId="23" fillId="0" borderId="0" xfId="0" applyFont="1" applyAlignment="1">
      <alignment horizontal="center"/>
    </xf>
    <xf numFmtId="2" fontId="24" fillId="0" borderId="0" xfId="0" applyNumberFormat="1" applyFont="1" applyBorder="1" applyAlignment="1">
      <alignment horizontal="center"/>
    </xf>
    <xf numFmtId="171" fontId="24" fillId="0" borderId="0" xfId="0" applyNumberFormat="1" applyFont="1" applyBorder="1" applyAlignment="1">
      <alignment horizontal="center"/>
    </xf>
    <xf numFmtId="2" fontId="23" fillId="0" borderId="0" xfId="0" applyNumberFormat="1" applyFont="1" applyBorder="1" applyAlignment="1">
      <alignment horizontal="center"/>
    </xf>
    <xf numFmtId="1" fontId="26" fillId="0" borderId="0" xfId="0" applyNumberFormat="1" applyFont="1" applyBorder="1" applyAlignment="1">
      <alignment horizontal="center"/>
    </xf>
    <xf numFmtId="165" fontId="26" fillId="0" borderId="0" xfId="0" applyNumberFormat="1" applyFont="1" applyBorder="1" applyAlignment="1">
      <alignment horizontal="center"/>
    </xf>
    <xf numFmtId="170" fontId="26" fillId="0" borderId="0" xfId="0" applyNumberFormat="1" applyFont="1" applyBorder="1" applyAlignment="1">
      <alignment horizontal="center"/>
    </xf>
    <xf numFmtId="169" fontId="26" fillId="0" borderId="0" xfId="0" applyNumberFormat="1" applyFont="1" applyBorder="1" applyAlignment="1">
      <alignment horizontal="center"/>
    </xf>
    <xf numFmtId="165" fontId="23" fillId="0" borderId="0" xfId="0" applyNumberFormat="1" applyFont="1" applyBorder="1" applyAlignment="1">
      <alignment horizontal="center"/>
    </xf>
    <xf numFmtId="171" fontId="26" fillId="0" borderId="0" xfId="0" applyNumberFormat="1" applyFont="1" applyBorder="1" applyAlignment="1">
      <alignment horizontal="center"/>
    </xf>
    <xf numFmtId="2" fontId="26" fillId="0" borderId="0" xfId="0" applyNumberFormat="1" applyFont="1" applyBorder="1" applyAlignment="1">
      <alignment horizontal="center"/>
    </xf>
    <xf numFmtId="171" fontId="23" fillId="0" borderId="0" xfId="0" applyNumberFormat="1" applyFont="1" applyAlignment="1">
      <alignment horizontal="center"/>
    </xf>
    <xf numFmtId="0" fontId="23" fillId="0" borderId="0" xfId="0" applyFont="1"/>
    <xf numFmtId="0" fontId="23" fillId="0" borderId="0" xfId="0" applyFont="1" applyBorder="1" applyAlignment="1">
      <alignment horizontal="center"/>
    </xf>
    <xf numFmtId="0" fontId="23" fillId="0" borderId="0" xfId="0" applyFont="1" applyBorder="1"/>
    <xf numFmtId="175" fontId="23" fillId="0" borderId="0" xfId="0" applyNumberFormat="1" applyFont="1" applyBorder="1" applyAlignment="1">
      <alignment horizontal="center"/>
    </xf>
    <xf numFmtId="2" fontId="23" fillId="0" borderId="0" xfId="0" applyNumberFormat="1" applyFont="1" applyBorder="1" applyAlignment="1">
      <alignment horizontal="center" vertical="top"/>
    </xf>
    <xf numFmtId="171" fontId="23" fillId="0" borderId="0" xfId="0" applyNumberFormat="1" applyFont="1" applyBorder="1" applyAlignment="1">
      <alignment horizontal="center"/>
    </xf>
    <xf numFmtId="1" fontId="27" fillId="0" borderId="0" xfId="0" applyNumberFormat="1" applyFont="1" applyBorder="1" applyAlignment="1">
      <alignment horizontal="center" vertical="top"/>
    </xf>
    <xf numFmtId="165" fontId="27" fillId="0" borderId="0" xfId="0" applyNumberFormat="1" applyFont="1" applyBorder="1" applyAlignment="1">
      <alignment horizontal="center" vertical="top"/>
    </xf>
    <xf numFmtId="170" fontId="27" fillId="0" borderId="0" xfId="0" applyNumberFormat="1" applyFont="1" applyBorder="1" applyAlignment="1">
      <alignment horizontal="center" vertical="top"/>
    </xf>
    <xf numFmtId="169" fontId="27" fillId="0" borderId="0" xfId="0" applyNumberFormat="1" applyFont="1" applyBorder="1" applyAlignment="1">
      <alignment horizontal="center" vertical="top"/>
    </xf>
    <xf numFmtId="165" fontId="23" fillId="0" borderId="0" xfId="0" applyNumberFormat="1" applyFont="1" applyBorder="1" applyAlignment="1">
      <alignment horizontal="center" vertical="top"/>
    </xf>
    <xf numFmtId="171" fontId="27" fillId="0" borderId="0" xfId="0" applyNumberFormat="1" applyFont="1" applyBorder="1" applyAlignment="1">
      <alignment horizontal="center" vertical="top"/>
    </xf>
    <xf numFmtId="171" fontId="23" fillId="0" borderId="0" xfId="0" applyNumberFormat="1" applyFont="1" applyBorder="1" applyAlignment="1">
      <alignment horizontal="center" vertical="top"/>
    </xf>
    <xf numFmtId="2" fontId="27" fillId="0" borderId="0" xfId="0" applyNumberFormat="1" applyFont="1" applyBorder="1" applyAlignment="1">
      <alignment horizontal="center" vertical="top"/>
    </xf>
    <xf numFmtId="171" fontId="23" fillId="0" borderId="0" xfId="0" applyNumberFormat="1" applyFont="1" applyAlignment="1">
      <alignment horizontal="center" vertical="top"/>
    </xf>
    <xf numFmtId="0" fontId="23" fillId="0" borderId="0" xfId="0" applyFont="1" applyAlignment="1">
      <alignment vertical="top"/>
    </xf>
    <xf numFmtId="0" fontId="23" fillId="0" borderId="0" xfId="0" applyFont="1" applyBorder="1" applyAlignment="1">
      <alignment horizontal="center" vertical="top"/>
    </xf>
    <xf numFmtId="0" fontId="23" fillId="0" borderId="0" xfId="0" applyFont="1" applyBorder="1" applyAlignment="1">
      <alignment vertical="top"/>
    </xf>
    <xf numFmtId="0" fontId="23" fillId="0" borderId="1" xfId="0" applyFont="1" applyBorder="1" applyAlignment="1">
      <alignment horizontal="center"/>
    </xf>
    <xf numFmtId="2" fontId="23" fillId="0" borderId="1" xfId="0" applyNumberFormat="1" applyFont="1" applyBorder="1" applyAlignment="1">
      <alignment horizontal="center"/>
    </xf>
    <xf numFmtId="171" fontId="23" fillId="0" borderId="1" xfId="0" applyNumberFormat="1" applyFont="1" applyBorder="1" applyAlignment="1">
      <alignment horizontal="center"/>
    </xf>
    <xf numFmtId="1" fontId="23" fillId="0" borderId="1" xfId="0" applyNumberFormat="1" applyFont="1" applyBorder="1" applyAlignment="1">
      <alignment horizontal="center"/>
    </xf>
    <xf numFmtId="165" fontId="23" fillId="0" borderId="1" xfId="0" applyNumberFormat="1" applyFont="1" applyBorder="1" applyAlignment="1">
      <alignment horizontal="center"/>
    </xf>
    <xf numFmtId="170" fontId="23" fillId="0" borderId="1" xfId="0" applyNumberFormat="1" applyFont="1" applyBorder="1" applyAlignment="1">
      <alignment horizontal="center"/>
    </xf>
    <xf numFmtId="1" fontId="23" fillId="0" borderId="0" xfId="0" applyNumberFormat="1" applyFont="1"/>
    <xf numFmtId="165" fontId="23" fillId="0" borderId="0" xfId="0" applyNumberFormat="1" applyFont="1"/>
    <xf numFmtId="170" fontId="23" fillId="0" borderId="0" xfId="0" applyNumberFormat="1" applyFont="1" applyBorder="1" applyAlignment="1"/>
    <xf numFmtId="169" fontId="28" fillId="0" borderId="0" xfId="0" applyNumberFormat="1" applyFont="1" applyBorder="1" applyAlignment="1">
      <alignment horizontal="center"/>
    </xf>
    <xf numFmtId="2" fontId="28" fillId="0" borderId="0" xfId="0" applyNumberFormat="1" applyFont="1" applyBorder="1" applyAlignment="1">
      <alignment horizontal="center"/>
    </xf>
    <xf numFmtId="2" fontId="28" fillId="0" borderId="0" xfId="0" applyNumberFormat="1" applyFont="1" applyAlignment="1">
      <alignment horizontal="center"/>
    </xf>
    <xf numFmtId="167" fontId="23" fillId="0" borderId="0" xfId="0" applyNumberFormat="1" applyFont="1" applyBorder="1" applyAlignment="1">
      <alignment horizontal="center"/>
    </xf>
    <xf numFmtId="170" fontId="23" fillId="0" borderId="0" xfId="0" applyNumberFormat="1" applyFont="1" applyBorder="1" applyAlignment="1">
      <alignment horizontal="center"/>
    </xf>
    <xf numFmtId="0" fontId="29" fillId="0" borderId="0" xfId="0" applyFont="1"/>
    <xf numFmtId="0" fontId="28" fillId="0" borderId="0" xfId="0" applyFont="1" applyBorder="1" applyAlignment="1">
      <alignment horizontal="center"/>
    </xf>
    <xf numFmtId="1" fontId="28" fillId="0" borderId="0" xfId="0" applyNumberFormat="1" applyFont="1" applyBorder="1" applyAlignment="1">
      <alignment horizontal="center"/>
    </xf>
    <xf numFmtId="1" fontId="28" fillId="0" borderId="0" xfId="0" applyNumberFormat="1" applyFont="1" applyAlignment="1">
      <alignment horizontal="center"/>
    </xf>
    <xf numFmtId="165" fontId="28" fillId="0" borderId="0" xfId="0" applyNumberFormat="1" applyFont="1" applyAlignment="1">
      <alignment horizontal="center"/>
    </xf>
    <xf numFmtId="170" fontId="29" fillId="0" borderId="0" xfId="0" applyNumberFormat="1" applyFont="1" applyAlignment="1">
      <alignment horizontal="center"/>
    </xf>
    <xf numFmtId="169" fontId="28" fillId="0" borderId="0" xfId="0" applyNumberFormat="1" applyFont="1" applyAlignment="1">
      <alignment horizontal="center"/>
    </xf>
    <xf numFmtId="0" fontId="28" fillId="0" borderId="0" xfId="0" applyFont="1" applyAlignment="1">
      <alignment horizontal="center"/>
    </xf>
    <xf numFmtId="171" fontId="28" fillId="0" borderId="0" xfId="0" applyNumberFormat="1" applyFont="1" applyAlignment="1">
      <alignment horizontal="center"/>
    </xf>
    <xf numFmtId="0" fontId="28" fillId="0" borderId="0" xfId="0" applyFont="1"/>
    <xf numFmtId="0" fontId="29" fillId="0" borderId="0" xfId="0" applyFont="1" applyBorder="1"/>
    <xf numFmtId="0" fontId="29" fillId="0" borderId="2" xfId="0" applyFont="1" applyBorder="1"/>
    <xf numFmtId="0" fontId="28" fillId="0" borderId="2" xfId="0" applyFont="1" applyBorder="1" applyAlignment="1">
      <alignment horizontal="center"/>
    </xf>
    <xf numFmtId="1" fontId="28" fillId="0" borderId="2" xfId="0" applyNumberFormat="1" applyFont="1" applyBorder="1" applyAlignment="1">
      <alignment horizontal="center"/>
    </xf>
    <xf numFmtId="2" fontId="28" fillId="0" borderId="2" xfId="0" applyNumberFormat="1" applyFont="1" applyBorder="1" applyAlignment="1">
      <alignment horizontal="center"/>
    </xf>
    <xf numFmtId="165" fontId="28" fillId="0" borderId="2" xfId="0" applyNumberFormat="1" applyFont="1" applyBorder="1" applyAlignment="1">
      <alignment horizontal="center"/>
    </xf>
    <xf numFmtId="170" fontId="29" fillId="0" borderId="2" xfId="0" applyNumberFormat="1" applyFont="1" applyBorder="1" applyAlignment="1">
      <alignment horizontal="center"/>
    </xf>
    <xf numFmtId="169" fontId="28" fillId="0" borderId="2" xfId="0" applyNumberFormat="1" applyFont="1" applyBorder="1" applyAlignment="1">
      <alignment horizontal="center"/>
    </xf>
    <xf numFmtId="171" fontId="28" fillId="0" borderId="2" xfId="0" applyNumberFormat="1" applyFont="1" applyBorder="1" applyAlignment="1">
      <alignment horizontal="center"/>
    </xf>
    <xf numFmtId="49" fontId="23" fillId="0" borderId="0" xfId="0" applyNumberFormat="1" applyFont="1" applyBorder="1" applyAlignment="1">
      <alignment horizontal="left"/>
    </xf>
    <xf numFmtId="1" fontId="30" fillId="0" borderId="0" xfId="0" applyNumberFormat="1" applyFont="1" applyBorder="1" applyAlignment="1">
      <alignment horizontal="center"/>
    </xf>
    <xf numFmtId="1" fontId="23" fillId="0" borderId="0" xfId="0" applyNumberFormat="1" applyFont="1" applyAlignment="1">
      <alignment horizontal="center"/>
    </xf>
    <xf numFmtId="165" fontId="30" fillId="0" borderId="0" xfId="0" applyNumberFormat="1" applyFont="1" applyBorder="1" applyAlignment="1">
      <alignment horizontal="center"/>
    </xf>
    <xf numFmtId="169" fontId="23" fillId="0" borderId="0" xfId="0" applyNumberFormat="1" applyFont="1" applyBorder="1" applyAlignment="1">
      <alignment horizontal="center"/>
    </xf>
    <xf numFmtId="167" fontId="30" fillId="0" borderId="0" xfId="0" applyNumberFormat="1" applyFont="1" applyBorder="1" applyAlignment="1">
      <alignment horizontal="center"/>
    </xf>
    <xf numFmtId="2" fontId="23" fillId="0" borderId="0" xfId="0" applyNumberFormat="1" applyFont="1" applyAlignment="1">
      <alignment horizontal="center"/>
    </xf>
    <xf numFmtId="171" fontId="31" fillId="0" borderId="0" xfId="0" applyNumberFormat="1" applyFont="1" applyBorder="1" applyAlignment="1">
      <alignment horizontal="center"/>
    </xf>
    <xf numFmtId="171" fontId="28" fillId="0" borderId="0" xfId="0" applyNumberFormat="1" applyFont="1" applyBorder="1" applyAlignment="1">
      <alignment horizontal="center"/>
    </xf>
    <xf numFmtId="171" fontId="23" fillId="0" borderId="0" xfId="0" applyNumberFormat="1" applyFont="1" applyBorder="1" applyAlignment="1">
      <alignment horizontal="left"/>
    </xf>
    <xf numFmtId="1" fontId="23" fillId="0" borderId="0" xfId="0" applyNumberFormat="1" applyFont="1" applyBorder="1" applyAlignment="1">
      <alignment horizontal="center"/>
    </xf>
    <xf numFmtId="171" fontId="32" fillId="0" borderId="0" xfId="0" applyNumberFormat="1" applyFont="1" applyAlignment="1">
      <alignment horizontal="center"/>
    </xf>
    <xf numFmtId="0" fontId="33" fillId="0" borderId="0" xfId="0" applyFont="1" applyBorder="1" applyAlignment="1">
      <alignment horizontal="center"/>
    </xf>
    <xf numFmtId="2" fontId="34" fillId="0" borderId="0" xfId="0" applyNumberFormat="1" applyFont="1" applyBorder="1" applyAlignment="1">
      <alignment horizontal="center"/>
    </xf>
    <xf numFmtId="170" fontId="28" fillId="0" borderId="0" xfId="0" applyNumberFormat="1" applyFont="1" applyAlignment="1"/>
    <xf numFmtId="171" fontId="35" fillId="0" borderId="0" xfId="0" applyNumberFormat="1" applyFont="1" applyAlignment="1">
      <alignment horizontal="center"/>
    </xf>
    <xf numFmtId="0" fontId="36" fillId="0" borderId="0" xfId="0" applyFont="1" applyBorder="1" applyAlignment="1">
      <alignment horizontal="center"/>
    </xf>
    <xf numFmtId="0" fontId="35" fillId="0" borderId="0" xfId="0" applyFont="1" applyAlignment="1">
      <alignment horizontal="center"/>
    </xf>
    <xf numFmtId="1" fontId="28" fillId="0" borderId="0" xfId="0" applyNumberFormat="1" applyFont="1"/>
    <xf numFmtId="165" fontId="28" fillId="0" borderId="0" xfId="0" applyNumberFormat="1" applyFont="1"/>
    <xf numFmtId="2" fontId="28" fillId="0" borderId="0" xfId="0" applyNumberFormat="1" applyFont="1"/>
    <xf numFmtId="169" fontId="28" fillId="0" borderId="0" xfId="0" applyNumberFormat="1" applyFont="1"/>
    <xf numFmtId="171" fontId="28" fillId="0" borderId="0" xfId="0" applyNumberFormat="1" applyFont="1"/>
    <xf numFmtId="0" fontId="37" fillId="0" borderId="0" xfId="0" applyFont="1" applyAlignment="1">
      <alignment horizontal="center"/>
    </xf>
    <xf numFmtId="165" fontId="1" fillId="0" borderId="0" xfId="0" applyNumberFormat="1" applyFont="1" applyAlignment="1">
      <alignment horizontal="center"/>
    </xf>
    <xf numFmtId="2" fontId="27" fillId="0" borderId="0" xfId="0" applyNumberFormat="1" applyFont="1" applyBorder="1" applyAlignment="1">
      <alignment horizontal="center"/>
    </xf>
    <xf numFmtId="167" fontId="28" fillId="0" borderId="0" xfId="0" applyNumberFormat="1" applyFont="1" applyAlignment="1">
      <alignment horizontal="center"/>
    </xf>
    <xf numFmtId="2" fontId="32" fillId="0" borderId="0" xfId="0" applyNumberFormat="1" applyFont="1" applyAlignment="1">
      <alignment horizontal="center"/>
    </xf>
    <xf numFmtId="165" fontId="32" fillId="0" borderId="0" xfId="0" applyNumberFormat="1" applyFont="1" applyAlignment="1">
      <alignment horizontal="center"/>
    </xf>
    <xf numFmtId="0" fontId="28" fillId="0" borderId="1" xfId="0" applyFont="1" applyBorder="1"/>
    <xf numFmtId="0" fontId="28" fillId="0" borderId="1" xfId="0" applyFont="1" applyBorder="1" applyAlignment="1">
      <alignment horizontal="center"/>
    </xf>
    <xf numFmtId="2" fontId="28" fillId="0" borderId="1" xfId="0" applyNumberFormat="1" applyFont="1" applyBorder="1" applyAlignment="1">
      <alignment horizontal="center"/>
    </xf>
    <xf numFmtId="165" fontId="24" fillId="0" borderId="0" xfId="0" applyNumberFormat="1" applyFont="1" applyBorder="1" applyAlignment="1">
      <alignment horizontal="center"/>
    </xf>
    <xf numFmtId="165" fontId="28" fillId="0" borderId="0" xfId="0" applyNumberFormat="1" applyFont="1" applyBorder="1" applyAlignment="1">
      <alignment horizontal="center"/>
    </xf>
    <xf numFmtId="0" fontId="7" fillId="0" borderId="0" xfId="0" applyFont="1" applyFill="1" applyAlignment="1">
      <alignment horizontal="center"/>
    </xf>
    <xf numFmtId="165" fontId="18" fillId="0" borderId="0" xfId="0" applyNumberFormat="1" applyFont="1" applyFill="1" applyAlignment="1">
      <alignment horizontal="center"/>
    </xf>
    <xf numFmtId="10" fontId="28" fillId="0" borderId="0" xfId="4" applyNumberFormat="1" applyFont="1" applyAlignment="1">
      <alignment horizontal="center"/>
    </xf>
    <xf numFmtId="0" fontId="11" fillId="0" borderId="0" xfId="0" applyFont="1" applyFill="1"/>
    <xf numFmtId="171" fontId="11" fillId="0" borderId="0" xfId="0" applyNumberFormat="1" applyFont="1" applyFill="1" applyAlignment="1">
      <alignment horizontal="center"/>
    </xf>
    <xf numFmtId="2" fontId="11" fillId="0" borderId="0" xfId="0" applyNumberFormat="1" applyFont="1" applyFill="1" applyAlignment="1">
      <alignment horizontal="center"/>
    </xf>
    <xf numFmtId="0" fontId="18" fillId="3" borderId="0" xfId="0" applyFont="1" applyFill="1"/>
    <xf numFmtId="171" fontId="18" fillId="0" borderId="0" xfId="0" applyNumberFormat="1" applyFont="1" applyAlignment="1">
      <alignment horizontal="center"/>
    </xf>
    <xf numFmtId="165" fontId="18" fillId="0" borderId="0" xfId="0" applyNumberFormat="1" applyFont="1" applyAlignment="1">
      <alignment horizontal="center"/>
    </xf>
    <xf numFmtId="2" fontId="18" fillId="0" borderId="0" xfId="0" applyNumberFormat="1" applyFont="1" applyAlignment="1">
      <alignment horizontal="center"/>
    </xf>
    <xf numFmtId="164" fontId="18" fillId="0" borderId="0" xfId="0" applyNumberFormat="1" applyFont="1" applyAlignment="1">
      <alignment horizontal="center"/>
    </xf>
    <xf numFmtId="10" fontId="18" fillId="0" borderId="0" xfId="4" applyNumberFormat="1" applyFont="1" applyAlignment="1">
      <alignment horizontal="center"/>
    </xf>
    <xf numFmtId="1" fontId="18" fillId="0" borderId="0" xfId="0" applyNumberFormat="1" applyFont="1" applyAlignment="1">
      <alignment horizontal="center"/>
    </xf>
    <xf numFmtId="171" fontId="18" fillId="0" borderId="0" xfId="0" applyNumberFormat="1" applyFont="1" applyFill="1" applyAlignment="1">
      <alignment horizontal="center"/>
    </xf>
    <xf numFmtId="169" fontId="11" fillId="0" borderId="0" xfId="0" applyNumberFormat="1" applyFont="1" applyFill="1"/>
    <xf numFmtId="165" fontId="11" fillId="0" borderId="0" xfId="0" applyNumberFormat="1" applyFont="1" applyFill="1" applyAlignment="1">
      <alignment horizontal="center"/>
    </xf>
    <xf numFmtId="0" fontId="16" fillId="0" borderId="0" xfId="0" applyNumberFormat="1" applyFont="1"/>
    <xf numFmtId="164" fontId="11" fillId="0" borderId="0" xfId="0" applyNumberFormat="1" applyFont="1" applyFill="1" applyAlignment="1">
      <alignment horizontal="center"/>
    </xf>
    <xf numFmtId="2" fontId="11" fillId="0" borderId="0" xfId="0" applyNumberFormat="1" applyFont="1" applyFill="1"/>
    <xf numFmtId="0" fontId="20" fillId="0" borderId="0" xfId="0" applyFont="1"/>
    <xf numFmtId="166" fontId="6" fillId="0" borderId="0" xfId="0" applyNumberFormat="1" applyFont="1"/>
    <xf numFmtId="0" fontId="7" fillId="0" borderId="0" xfId="0" applyNumberFormat="1" applyFont="1"/>
    <xf numFmtId="169" fontId="18" fillId="0" borderId="0" xfId="0" applyNumberFormat="1" applyFont="1" applyAlignment="1">
      <alignment horizontal="center"/>
    </xf>
    <xf numFmtId="2" fontId="11" fillId="0" borderId="0" xfId="0" applyNumberFormat="1" applyFont="1" applyAlignment="1">
      <alignment horizontal="center"/>
    </xf>
    <xf numFmtId="167" fontId="18" fillId="0" borderId="0" xfId="0" applyNumberFormat="1" applyFont="1" applyAlignment="1">
      <alignment horizontal="center"/>
    </xf>
    <xf numFmtId="0" fontId="39" fillId="0" borderId="0" xfId="0" applyFont="1"/>
    <xf numFmtId="0" fontId="15" fillId="0" borderId="0" xfId="0" applyFont="1"/>
    <xf numFmtId="171" fontId="7" fillId="0" borderId="0" xfId="0" applyNumberFormat="1" applyFont="1" applyFill="1" applyAlignment="1">
      <alignment horizontal="center"/>
    </xf>
    <xf numFmtId="0" fontId="18" fillId="0" borderId="0" xfId="0" applyFont="1" applyFill="1" applyAlignment="1">
      <alignment horizontal="center"/>
    </xf>
    <xf numFmtId="169" fontId="6" fillId="0" borderId="0" xfId="0" applyNumberFormat="1" applyFont="1" applyFill="1" applyAlignment="1">
      <alignment horizontal="center"/>
    </xf>
    <xf numFmtId="169" fontId="11" fillId="0" borderId="0" xfId="0" applyNumberFormat="1" applyFont="1" applyFill="1" applyAlignment="1">
      <alignment horizontal="center"/>
    </xf>
    <xf numFmtId="170" fontId="11" fillId="0" borderId="0" xfId="0" applyNumberFormat="1" applyFont="1" applyFill="1" applyAlignment="1">
      <alignment horizontal="center"/>
    </xf>
    <xf numFmtId="167" fontId="11" fillId="0" borderId="0" xfId="0" applyNumberFormat="1" applyFont="1" applyFill="1" applyAlignment="1">
      <alignment horizontal="center"/>
    </xf>
    <xf numFmtId="167" fontId="6" fillId="0" borderId="0" xfId="0" applyNumberFormat="1" applyFont="1" applyFill="1" applyAlignment="1">
      <alignment horizontal="center"/>
    </xf>
    <xf numFmtId="168" fontId="6" fillId="0" borderId="0" xfId="0" applyNumberFormat="1" applyFont="1" applyFill="1" applyAlignment="1">
      <alignment horizontal="center"/>
    </xf>
    <xf numFmtId="168" fontId="11" fillId="0" borderId="0" xfId="0" applyNumberFormat="1" applyFont="1" applyFill="1" applyAlignment="1">
      <alignment horizontal="center"/>
    </xf>
    <xf numFmtId="172" fontId="11" fillId="0" borderId="0" xfId="0" applyNumberFormat="1" applyFont="1" applyFill="1" applyAlignment="1">
      <alignment horizontal="center"/>
    </xf>
    <xf numFmtId="1" fontId="7" fillId="0" borderId="0" xfId="0" applyNumberFormat="1" applyFont="1" applyFill="1" applyAlignment="1">
      <alignment horizontal="center"/>
    </xf>
    <xf numFmtId="172" fontId="7" fillId="0" borderId="0" xfId="0" applyNumberFormat="1" applyFont="1" applyFill="1" applyAlignment="1">
      <alignment horizontal="center"/>
    </xf>
    <xf numFmtId="10" fontId="11" fillId="0" borderId="0" xfId="0" applyNumberFormat="1" applyFont="1" applyFill="1" applyAlignment="1">
      <alignment horizontal="center"/>
    </xf>
    <xf numFmtId="173" fontId="7" fillId="0" borderId="0" xfId="0" applyNumberFormat="1" applyFont="1" applyFill="1" applyAlignment="1">
      <alignment horizontal="center"/>
    </xf>
    <xf numFmtId="166" fontId="6" fillId="0" borderId="0" xfId="0" applyNumberFormat="1" applyFont="1" applyFill="1" applyAlignment="1">
      <alignment horizontal="center"/>
    </xf>
    <xf numFmtId="166" fontId="18" fillId="0" borderId="0" xfId="0" applyNumberFormat="1" applyFont="1" applyFill="1" applyAlignment="1">
      <alignment horizontal="center"/>
    </xf>
    <xf numFmtId="2" fontId="7" fillId="4" borderId="0" xfId="0" applyNumberFormat="1" applyFont="1" applyFill="1"/>
    <xf numFmtId="0" fontId="7" fillId="4" borderId="0" xfId="0" applyFont="1" applyFill="1"/>
    <xf numFmtId="0" fontId="29" fillId="0" borderId="1" xfId="0" applyFont="1" applyBorder="1"/>
    <xf numFmtId="169" fontId="28" fillId="0" borderId="1" xfId="0" applyNumberFormat="1" applyFont="1" applyBorder="1" applyAlignment="1">
      <alignment horizontal="center"/>
    </xf>
    <xf numFmtId="0" fontId="33" fillId="0" borderId="0" xfId="0" applyFont="1" applyBorder="1"/>
    <xf numFmtId="1" fontId="33" fillId="0" borderId="0" xfId="0" applyNumberFormat="1" applyFont="1" applyBorder="1" applyAlignment="1">
      <alignment horizontal="center"/>
    </xf>
    <xf numFmtId="171" fontId="33" fillId="0" borderId="0" xfId="0" applyNumberFormat="1" applyFont="1" applyBorder="1" applyAlignment="1">
      <alignment horizontal="center"/>
    </xf>
    <xf numFmtId="2" fontId="33" fillId="0" borderId="0" xfId="0" applyNumberFormat="1" applyFont="1" applyBorder="1" applyAlignment="1">
      <alignment horizontal="center"/>
    </xf>
    <xf numFmtId="1" fontId="33" fillId="0" borderId="0" xfId="0" applyNumberFormat="1" applyFont="1" applyAlignment="1">
      <alignment horizontal="center"/>
    </xf>
    <xf numFmtId="165" fontId="33" fillId="0" borderId="0" xfId="0" applyNumberFormat="1" applyFont="1" applyBorder="1" applyAlignment="1">
      <alignment horizontal="center"/>
    </xf>
    <xf numFmtId="170" fontId="33" fillId="0" borderId="0" xfId="0" applyNumberFormat="1" applyFont="1" applyBorder="1" applyAlignment="1"/>
    <xf numFmtId="169" fontId="33" fillId="0" borderId="0" xfId="0" applyNumberFormat="1" applyFont="1" applyBorder="1" applyAlignment="1">
      <alignment horizontal="center"/>
    </xf>
    <xf numFmtId="167" fontId="33" fillId="0" borderId="0" xfId="0" applyNumberFormat="1" applyFont="1" applyBorder="1" applyAlignment="1">
      <alignment horizontal="center"/>
    </xf>
    <xf numFmtId="2" fontId="33" fillId="0" borderId="0" xfId="0" applyNumberFormat="1" applyFont="1" applyAlignment="1">
      <alignment horizontal="center"/>
    </xf>
    <xf numFmtId="0" fontId="33" fillId="0" borderId="0" xfId="0" applyFont="1"/>
    <xf numFmtId="0" fontId="15" fillId="0" borderId="0" xfId="0" applyFont="1" applyAlignment="1">
      <alignment horizontal="center"/>
    </xf>
    <xf numFmtId="0" fontId="15" fillId="5" borderId="3" xfId="0" applyFont="1" applyFill="1" applyBorder="1" applyAlignment="1">
      <alignment horizontal="center"/>
    </xf>
    <xf numFmtId="2" fontId="15" fillId="4" borderId="4" xfId="0" applyNumberFormat="1" applyFont="1" applyFill="1" applyBorder="1" applyAlignment="1">
      <alignment horizontal="center"/>
    </xf>
    <xf numFmtId="2" fontId="15" fillId="4" borderId="3" xfId="0" applyNumberFormat="1" applyFont="1" applyFill="1" applyBorder="1" applyAlignment="1">
      <alignment horizontal="center"/>
    </xf>
    <xf numFmtId="0" fontId="15" fillId="0" borderId="0" xfId="0" applyFont="1" applyBorder="1" applyAlignment="1">
      <alignment horizontal="center"/>
    </xf>
    <xf numFmtId="0" fontId="15" fillId="0" borderId="5"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7" fillId="6" borderId="0" xfId="0" applyFont="1" applyFill="1" applyAlignment="1">
      <alignment horizontal="center"/>
    </xf>
    <xf numFmtId="0" fontId="7" fillId="6" borderId="0" xfId="0" applyFont="1" applyFill="1"/>
    <xf numFmtId="2" fontId="7" fillId="6" borderId="0" xfId="0" applyNumberFormat="1" applyFont="1" applyFill="1"/>
    <xf numFmtId="0" fontId="15" fillId="0" borderId="8" xfId="0" applyFont="1" applyBorder="1" applyAlignment="1">
      <alignment horizontal="center"/>
    </xf>
    <xf numFmtId="0" fontId="15" fillId="0" borderId="9" xfId="0" applyFont="1" applyBorder="1" applyAlignment="1">
      <alignment horizontal="center"/>
    </xf>
    <xf numFmtId="171" fontId="7" fillId="6" borderId="0" xfId="0" applyNumberFormat="1" applyFont="1" applyFill="1"/>
    <xf numFmtId="171" fontId="18" fillId="6" borderId="0" xfId="0" applyNumberFormat="1" applyFont="1" applyFill="1" applyAlignment="1">
      <alignment horizontal="center"/>
    </xf>
    <xf numFmtId="0" fontId="18" fillId="6" borderId="0" xfId="0" applyFont="1" applyFill="1"/>
    <xf numFmtId="0" fontId="15" fillId="7" borderId="0" xfId="0" applyFont="1" applyFill="1" applyBorder="1" applyAlignment="1">
      <alignment horizontal="center"/>
    </xf>
    <xf numFmtId="0" fontId="39" fillId="4" borderId="5" xfId="0" applyFont="1" applyFill="1" applyBorder="1" applyAlignment="1">
      <alignment horizontal="center"/>
    </xf>
    <xf numFmtId="0" fontId="39" fillId="4" borderId="7" xfId="0" applyFont="1" applyFill="1" applyBorder="1" applyAlignment="1">
      <alignment horizontal="center"/>
    </xf>
    <xf numFmtId="2" fontId="15" fillId="4" borderId="10" xfId="0" applyNumberFormat="1" applyFont="1" applyFill="1" applyBorder="1" applyAlignment="1">
      <alignment horizontal="center"/>
    </xf>
    <xf numFmtId="49" fontId="11" fillId="0" borderId="0" xfId="0" applyNumberFormat="1" applyFont="1" applyFill="1"/>
    <xf numFmtId="49" fontId="17" fillId="0" borderId="0" xfId="0" applyNumberFormat="1" applyFont="1" applyFill="1" applyBorder="1" applyAlignment="1">
      <alignment horizontal="center"/>
    </xf>
    <xf numFmtId="170" fontId="7" fillId="0" borderId="0" xfId="0" applyNumberFormat="1" applyFont="1" applyFill="1"/>
    <xf numFmtId="165" fontId="16" fillId="6" borderId="0" xfId="0" applyNumberFormat="1" applyFont="1" applyFill="1" applyAlignment="1">
      <alignment horizontal="center"/>
    </xf>
    <xf numFmtId="49" fontId="6" fillId="6" borderId="0" xfId="0" applyNumberFormat="1" applyFont="1" applyFill="1" applyAlignment="1">
      <alignment horizontal="center"/>
    </xf>
    <xf numFmtId="165" fontId="18" fillId="6" borderId="0" xfId="0" applyNumberFormat="1" applyFont="1" applyFill="1" applyAlignment="1">
      <alignment horizontal="center"/>
    </xf>
    <xf numFmtId="170" fontId="7" fillId="6" borderId="0" xfId="0" applyNumberFormat="1" applyFont="1" applyFill="1" applyAlignment="1">
      <alignment horizontal="center"/>
    </xf>
    <xf numFmtId="49" fontId="7" fillId="6" borderId="0" xfId="0" applyNumberFormat="1" applyFont="1" applyFill="1" applyAlignment="1">
      <alignment horizontal="center"/>
    </xf>
    <xf numFmtId="49" fontId="7" fillId="6" borderId="0" xfId="0" applyNumberFormat="1" applyFont="1" applyFill="1"/>
    <xf numFmtId="165" fontId="7" fillId="6" borderId="0" xfId="0" applyNumberFormat="1" applyFont="1" applyFill="1" applyAlignment="1">
      <alignment horizontal="center"/>
    </xf>
    <xf numFmtId="169" fontId="7" fillId="6" borderId="0" xfId="0" applyNumberFormat="1" applyFont="1" applyFill="1" applyAlignment="1">
      <alignment horizontal="center"/>
    </xf>
    <xf numFmtId="0" fontId="39" fillId="0" borderId="0" xfId="0" applyFont="1" applyFill="1" applyBorder="1" applyAlignment="1">
      <alignment horizontal="center"/>
    </xf>
    <xf numFmtId="0" fontId="41" fillId="7" borderId="0" xfId="0" applyFont="1" applyFill="1" applyBorder="1" applyAlignment="1">
      <alignment horizontal="center"/>
    </xf>
    <xf numFmtId="171" fontId="15" fillId="4" borderId="4" xfId="0" applyNumberFormat="1" applyFont="1" applyFill="1" applyBorder="1" applyAlignment="1">
      <alignment horizontal="center"/>
    </xf>
    <xf numFmtId="171" fontId="15" fillId="4" borderId="10" xfId="0" applyNumberFormat="1" applyFont="1" applyFill="1" applyBorder="1" applyAlignment="1">
      <alignment horizontal="center"/>
    </xf>
    <xf numFmtId="2" fontId="15" fillId="4" borderId="11" xfId="0" applyNumberFormat="1" applyFont="1" applyFill="1" applyBorder="1" applyAlignment="1">
      <alignment horizontal="center"/>
    </xf>
    <xf numFmtId="2" fontId="15" fillId="4" borderId="12" xfId="0" applyNumberFormat="1" applyFont="1" applyFill="1" applyBorder="1" applyAlignment="1">
      <alignment horizontal="center"/>
    </xf>
    <xf numFmtId="0" fontId="6" fillId="0" borderId="0" xfId="0" applyFont="1" applyFill="1" applyBorder="1" applyAlignment="1">
      <alignment horizontal="left"/>
    </xf>
    <xf numFmtId="0" fontId="15" fillId="0" borderId="0" xfId="0" applyFont="1" applyFill="1" applyBorder="1" applyAlignment="1">
      <alignment horizontal="center"/>
    </xf>
    <xf numFmtId="0" fontId="15" fillId="7" borderId="5" xfId="0" applyFont="1" applyFill="1" applyBorder="1" applyAlignment="1">
      <alignment horizontal="center"/>
    </xf>
    <xf numFmtId="0" fontId="41" fillId="7" borderId="5" xfId="0" applyFont="1" applyFill="1" applyBorder="1" applyAlignment="1">
      <alignment horizontal="center"/>
    </xf>
    <xf numFmtId="0" fontId="45" fillId="7" borderId="0" xfId="0" applyFont="1" applyFill="1" applyBorder="1" applyAlignment="1"/>
    <xf numFmtId="11" fontId="46" fillId="7" borderId="0" xfId="0" applyNumberFormat="1" applyFont="1" applyFill="1" applyBorder="1" applyAlignment="1">
      <alignment horizontal="center"/>
    </xf>
    <xf numFmtId="0" fontId="45" fillId="7" borderId="1" xfId="0" applyFont="1" applyFill="1" applyBorder="1" applyAlignment="1"/>
    <xf numFmtId="11" fontId="46" fillId="7" borderId="1" xfId="0" applyNumberFormat="1" applyFont="1" applyFill="1" applyBorder="1" applyAlignment="1">
      <alignment horizontal="center"/>
    </xf>
    <xf numFmtId="0" fontId="46" fillId="7" borderId="0" xfId="0" applyFont="1" applyFill="1" applyBorder="1" applyAlignment="1">
      <alignment horizontal="center"/>
    </xf>
    <xf numFmtId="0" fontId="46" fillId="7" borderId="1" xfId="0" applyFont="1" applyFill="1" applyBorder="1" applyAlignment="1">
      <alignment horizontal="center"/>
    </xf>
    <xf numFmtId="0" fontId="45" fillId="7" borderId="8" xfId="0" applyFont="1" applyFill="1" applyBorder="1" applyAlignment="1"/>
    <xf numFmtId="0" fontId="46" fillId="7" borderId="12" xfId="0" applyFont="1" applyFill="1" applyBorder="1" applyAlignment="1">
      <alignment horizontal="center"/>
    </xf>
    <xf numFmtId="171" fontId="15" fillId="4" borderId="3" xfId="0" applyNumberFormat="1" applyFont="1" applyFill="1" applyBorder="1" applyAlignment="1">
      <alignment horizontal="center"/>
    </xf>
    <xf numFmtId="171" fontId="15" fillId="4" borderId="13" xfId="0" applyNumberFormat="1" applyFont="1" applyFill="1" applyBorder="1" applyAlignment="1">
      <alignment horizontal="center"/>
    </xf>
    <xf numFmtId="0" fontId="49" fillId="5" borderId="14" xfId="0" applyFont="1" applyFill="1" applyBorder="1" applyAlignment="1">
      <alignment horizontal="center"/>
    </xf>
    <xf numFmtId="0" fontId="49" fillId="5" borderId="15" xfId="0" applyFont="1" applyFill="1" applyBorder="1" applyAlignment="1">
      <alignment horizontal="center"/>
    </xf>
    <xf numFmtId="0" fontId="49" fillId="5" borderId="16" xfId="0" applyFont="1" applyFill="1" applyBorder="1" applyAlignment="1">
      <alignment horizontal="center"/>
    </xf>
    <xf numFmtId="0" fontId="49" fillId="0" borderId="0" xfId="0" applyFont="1" applyFill="1" applyBorder="1" applyAlignment="1">
      <alignment horizontal="center"/>
    </xf>
    <xf numFmtId="0" fontId="50" fillId="5" borderId="14" xfId="0" applyFont="1" applyFill="1" applyBorder="1" applyAlignment="1">
      <alignment horizontal="center"/>
    </xf>
    <xf numFmtId="0" fontId="50" fillId="5" borderId="15" xfId="0" applyFont="1" applyFill="1" applyBorder="1" applyAlignment="1">
      <alignment horizontal="center"/>
    </xf>
    <xf numFmtId="0" fontId="51" fillId="5" borderId="15" xfId="0" applyFont="1" applyFill="1" applyBorder="1" applyAlignment="1"/>
    <xf numFmtId="11" fontId="52" fillId="5" borderId="15" xfId="0" applyNumberFormat="1" applyFont="1" applyFill="1" applyBorder="1" applyAlignment="1">
      <alignment horizontal="center"/>
    </xf>
    <xf numFmtId="0" fontId="50" fillId="0" borderId="0" xfId="0" applyFont="1" applyFill="1" applyBorder="1" applyAlignment="1">
      <alignment horizontal="center"/>
    </xf>
    <xf numFmtId="167" fontId="15" fillId="4" borderId="6" xfId="0" applyNumberFormat="1" applyFont="1" applyFill="1" applyBorder="1" applyAlignment="1">
      <alignment horizontal="center"/>
    </xf>
    <xf numFmtId="167" fontId="15" fillId="4" borderId="9" xfId="0" applyNumberFormat="1" applyFont="1" applyFill="1" applyBorder="1" applyAlignment="1">
      <alignment horizontal="center"/>
    </xf>
    <xf numFmtId="167" fontId="15" fillId="4" borderId="3" xfId="0" applyNumberFormat="1" applyFont="1" applyFill="1" applyBorder="1" applyAlignment="1">
      <alignment horizontal="center"/>
    </xf>
    <xf numFmtId="167" fontId="15" fillId="4" borderId="13" xfId="0" applyNumberFormat="1" applyFont="1" applyFill="1" applyBorder="1" applyAlignment="1">
      <alignment horizontal="center"/>
    </xf>
    <xf numFmtId="2" fontId="15" fillId="4" borderId="13" xfId="0" applyNumberFormat="1" applyFont="1" applyFill="1" applyBorder="1" applyAlignment="1">
      <alignment horizontal="center"/>
    </xf>
    <xf numFmtId="171" fontId="15" fillId="4" borderId="11" xfId="0" applyNumberFormat="1" applyFont="1" applyFill="1" applyBorder="1" applyAlignment="1">
      <alignment horizontal="center"/>
    </xf>
    <xf numFmtId="171" fontId="15" fillId="4" borderId="12" xfId="0" applyNumberFormat="1" applyFont="1" applyFill="1" applyBorder="1" applyAlignment="1">
      <alignment horizontal="center"/>
    </xf>
    <xf numFmtId="0" fontId="15" fillId="0" borderId="17" xfId="0" applyFont="1" applyBorder="1" applyAlignment="1">
      <alignment horizontal="center"/>
    </xf>
    <xf numFmtId="0" fontId="15" fillId="0" borderId="18" xfId="0" applyFont="1" applyBorder="1" applyAlignment="1">
      <alignment horizontal="center"/>
    </xf>
    <xf numFmtId="0" fontId="15" fillId="0" borderId="19" xfId="0" applyFont="1" applyBorder="1" applyAlignment="1">
      <alignment horizontal="center"/>
    </xf>
    <xf numFmtId="168" fontId="7" fillId="6" borderId="0" xfId="0" applyNumberFormat="1" applyFont="1" applyFill="1"/>
    <xf numFmtId="2" fontId="53" fillId="0" borderId="0" xfId="0" applyNumberFormat="1" applyFont="1" applyAlignment="1">
      <alignment horizontal="center"/>
    </xf>
    <xf numFmtId="2" fontId="15" fillId="0" borderId="0" xfId="0" applyNumberFormat="1" applyFont="1" applyAlignment="1">
      <alignment horizontal="center"/>
    </xf>
    <xf numFmtId="0" fontId="38" fillId="0" borderId="1" xfId="0" applyFont="1" applyBorder="1" applyAlignment="1">
      <alignment horizontal="center"/>
    </xf>
    <xf numFmtId="0" fontId="59" fillId="0" borderId="0" xfId="0" applyFont="1"/>
    <xf numFmtId="0" fontId="60" fillId="0" borderId="0" xfId="0" applyFont="1"/>
    <xf numFmtId="0" fontId="60" fillId="0" borderId="0" xfId="0" applyFont="1" applyFill="1"/>
    <xf numFmtId="0" fontId="15" fillId="4" borderId="20" xfId="0" applyFont="1" applyFill="1" applyBorder="1" applyAlignment="1">
      <alignment horizontal="center" vertical="center"/>
    </xf>
    <xf numFmtId="0" fontId="40" fillId="4" borderId="21" xfId="0" applyFont="1" applyFill="1" applyBorder="1" applyAlignment="1">
      <alignment vertical="center"/>
    </xf>
    <xf numFmtId="0" fontId="39" fillId="4" borderId="22" xfId="0" applyFont="1" applyFill="1" applyBorder="1" applyAlignment="1">
      <alignment vertical="center"/>
    </xf>
    <xf numFmtId="0" fontId="39" fillId="4" borderId="18" xfId="0" applyFont="1" applyFill="1" applyBorder="1" applyAlignment="1">
      <alignment vertical="center"/>
    </xf>
    <xf numFmtId="0" fontId="39" fillId="4" borderId="23" xfId="0" applyFont="1" applyFill="1" applyBorder="1" applyAlignment="1">
      <alignment horizontal="center" vertical="center"/>
    </xf>
    <xf numFmtId="0" fontId="12" fillId="4" borderId="24" xfId="0" applyFont="1" applyFill="1" applyBorder="1" applyAlignment="1">
      <alignment horizontal="center" vertical="center"/>
    </xf>
    <xf numFmtId="0" fontId="12" fillId="4" borderId="25" xfId="0" applyFont="1" applyFill="1" applyBorder="1" applyAlignment="1">
      <alignment horizontal="center" vertical="center"/>
    </xf>
    <xf numFmtId="0" fontId="12" fillId="4" borderId="26" xfId="0" applyFont="1" applyFill="1" applyBorder="1" applyAlignment="1">
      <alignment horizontal="center" vertical="center"/>
    </xf>
    <xf numFmtId="0" fontId="55" fillId="0" borderId="0" xfId="0" applyFont="1" applyAlignment="1">
      <alignment horizontal="center" vertical="center"/>
    </xf>
    <xf numFmtId="0" fontId="15" fillId="0" borderId="0" xfId="0" applyFont="1" applyAlignment="1">
      <alignment horizontal="center" vertical="center"/>
    </xf>
    <xf numFmtId="0" fontId="41" fillId="0" borderId="0" xfId="0" applyFont="1" applyFill="1" applyBorder="1" applyAlignment="1">
      <alignment horizontal="center" vertical="center"/>
    </xf>
    <xf numFmtId="0" fontId="40" fillId="0" borderId="0" xfId="0" applyFont="1" applyFill="1" applyBorder="1" applyAlignment="1">
      <alignment vertical="center"/>
    </xf>
    <xf numFmtId="11" fontId="58" fillId="0" borderId="0" xfId="2" applyNumberFormat="1" applyFont="1" applyBorder="1" applyAlignment="1">
      <alignment horizontal="center" vertical="center"/>
    </xf>
    <xf numFmtId="0" fontId="15" fillId="0" borderId="0" xfId="0" applyFont="1" applyBorder="1" applyAlignment="1">
      <alignment horizontal="center" vertical="center"/>
    </xf>
    <xf numFmtId="0" fontId="20" fillId="0" borderId="0" xfId="0" applyFont="1" applyAlignment="1">
      <alignment horizontal="center"/>
    </xf>
    <xf numFmtId="0" fontId="18" fillId="0" borderId="0" xfId="5" applyFont="1" applyFill="1" applyBorder="1"/>
    <xf numFmtId="0" fontId="6" fillId="0" borderId="0" xfId="5" applyFont="1" applyFill="1" applyBorder="1" applyAlignment="1">
      <alignment horizontal="center"/>
    </xf>
    <xf numFmtId="0" fontId="7" fillId="0" borderId="0" xfId="5" applyFont="1" applyFill="1" applyBorder="1"/>
    <xf numFmtId="0" fontId="18" fillId="0" borderId="1" xfId="5" applyFont="1" applyFill="1" applyBorder="1"/>
    <xf numFmtId="0" fontId="45" fillId="0" borderId="0" xfId="0" applyFont="1" applyFill="1"/>
    <xf numFmtId="0" fontId="45" fillId="0" borderId="0" xfId="0" applyFont="1" applyFill="1" applyBorder="1" applyAlignment="1">
      <alignment horizontal="center"/>
    </xf>
    <xf numFmtId="2" fontId="55" fillId="0" borderId="0" xfId="0" applyNumberFormat="1" applyFont="1" applyFill="1" applyBorder="1" applyAlignment="1">
      <alignment horizontal="center"/>
    </xf>
    <xf numFmtId="181" fontId="59" fillId="0" borderId="0" xfId="0" applyNumberFormat="1" applyFont="1" applyFill="1" applyBorder="1" applyAlignment="1">
      <alignment horizontal="center"/>
    </xf>
    <xf numFmtId="170" fontId="55" fillId="0" borderId="0" xfId="0" applyNumberFormat="1" applyFont="1" applyFill="1" applyBorder="1" applyAlignment="1">
      <alignment horizontal="center"/>
    </xf>
    <xf numFmtId="167" fontId="55" fillId="0" borderId="0" xfId="0" applyNumberFormat="1" applyFont="1" applyFill="1" applyBorder="1" applyAlignment="1">
      <alignment horizontal="center"/>
    </xf>
    <xf numFmtId="171" fontId="55" fillId="0" borderId="0" xfId="0" applyNumberFormat="1" applyFont="1" applyFill="1" applyBorder="1" applyAlignment="1">
      <alignment horizontal="center"/>
    </xf>
    <xf numFmtId="165" fontId="59" fillId="0" borderId="0" xfId="0" applyNumberFormat="1" applyFont="1" applyFill="1" applyBorder="1" applyAlignment="1">
      <alignment horizontal="center"/>
    </xf>
    <xf numFmtId="175" fontId="59" fillId="0" borderId="0" xfId="0" applyNumberFormat="1" applyFont="1" applyFill="1" applyBorder="1" applyAlignment="1">
      <alignment horizontal="center" vertical="center"/>
    </xf>
    <xf numFmtId="169" fontId="45" fillId="0" borderId="0" xfId="0" applyNumberFormat="1" applyFont="1" applyFill="1" applyBorder="1" applyAlignment="1">
      <alignment horizontal="center" vertical="center"/>
    </xf>
    <xf numFmtId="2" fontId="45" fillId="0" borderId="0" xfId="0" applyNumberFormat="1" applyFont="1" applyFill="1" applyBorder="1" applyAlignment="1">
      <alignment horizontal="center" vertical="center"/>
    </xf>
    <xf numFmtId="170" fontId="45" fillId="0" borderId="0" xfId="0" applyNumberFormat="1" applyFont="1" applyFill="1" applyBorder="1" applyAlignment="1">
      <alignment horizontal="center" vertical="center"/>
    </xf>
    <xf numFmtId="165" fontId="45" fillId="0" borderId="0" xfId="0" applyNumberFormat="1" applyFont="1" applyFill="1" applyBorder="1" applyAlignment="1">
      <alignment horizontal="center" vertical="center"/>
    </xf>
    <xf numFmtId="11" fontId="45" fillId="0" borderId="0" xfId="2" applyNumberFormat="1" applyFont="1" applyBorder="1" applyAlignment="1">
      <alignment horizontal="center" vertical="center"/>
    </xf>
    <xf numFmtId="0" fontId="45" fillId="0" borderId="0" xfId="0" applyFont="1" applyBorder="1" applyAlignment="1">
      <alignment vertical="center"/>
    </xf>
    <xf numFmtId="0" fontId="59" fillId="8" borderId="0" xfId="0" applyFont="1" applyFill="1" applyAlignment="1">
      <alignment horizontal="center"/>
    </xf>
    <xf numFmtId="171" fontId="62" fillId="4" borderId="27" xfId="0" applyNumberFormat="1" applyFont="1" applyFill="1" applyBorder="1" applyAlignment="1">
      <alignment horizontal="center"/>
    </xf>
    <xf numFmtId="171" fontId="62" fillId="4" borderId="28" xfId="0" applyNumberFormat="1" applyFont="1" applyFill="1" applyBorder="1" applyAlignment="1">
      <alignment horizontal="center"/>
    </xf>
    <xf numFmtId="2" fontId="62" fillId="4" borderId="27" xfId="0" applyNumberFormat="1" applyFont="1" applyFill="1" applyBorder="1" applyAlignment="1">
      <alignment horizontal="center"/>
    </xf>
    <xf numFmtId="2" fontId="62" fillId="4" borderId="28" xfId="0" applyNumberFormat="1" applyFont="1" applyFill="1" applyBorder="1" applyAlignment="1">
      <alignment horizontal="center"/>
    </xf>
    <xf numFmtId="2" fontId="46" fillId="0" borderId="0" xfId="0" applyNumberFormat="1" applyFont="1" applyFill="1" applyAlignment="1">
      <alignment horizontal="center"/>
    </xf>
    <xf numFmtId="0" fontId="46" fillId="0" borderId="0" xfId="0" applyFont="1" applyFill="1"/>
    <xf numFmtId="169" fontId="46" fillId="8" borderId="0" xfId="0" applyNumberFormat="1" applyFont="1" applyFill="1"/>
    <xf numFmtId="181" fontId="46" fillId="8" borderId="0" xfId="0" applyNumberFormat="1" applyFont="1" applyFill="1" applyAlignment="1">
      <alignment horizontal="center"/>
    </xf>
    <xf numFmtId="165" fontId="46" fillId="0" borderId="0" xfId="0" applyNumberFormat="1" applyFont="1" applyFill="1" applyAlignment="1">
      <alignment horizontal="center"/>
    </xf>
    <xf numFmtId="169" fontId="46" fillId="0" borderId="0" xfId="0" applyNumberFormat="1" applyFont="1" applyFill="1" applyAlignment="1">
      <alignment horizontal="center"/>
    </xf>
    <xf numFmtId="11" fontId="46" fillId="0" borderId="0" xfId="0" applyNumberFormat="1" applyFont="1" applyFill="1" applyAlignment="1">
      <alignment horizontal="center"/>
    </xf>
    <xf numFmtId="0" fontId="46" fillId="0" borderId="0" xfId="0" applyFont="1"/>
    <xf numFmtId="11" fontId="46" fillId="9" borderId="0" xfId="0" applyNumberFormat="1" applyFont="1" applyFill="1" applyAlignment="1">
      <alignment horizontal="center"/>
    </xf>
    <xf numFmtId="171" fontId="62" fillId="4" borderId="4" xfId="0" applyNumberFormat="1" applyFont="1" applyFill="1" applyBorder="1" applyAlignment="1">
      <alignment horizontal="center"/>
    </xf>
    <xf numFmtId="171" fontId="62" fillId="4" borderId="11" xfId="0" applyNumberFormat="1" applyFont="1" applyFill="1" applyBorder="1" applyAlignment="1">
      <alignment horizontal="center"/>
    </xf>
    <xf numFmtId="2" fontId="62" fillId="4" borderId="4" xfId="0" applyNumberFormat="1" applyFont="1" applyFill="1" applyBorder="1" applyAlignment="1">
      <alignment horizontal="center"/>
    </xf>
    <xf numFmtId="2" fontId="62" fillId="4" borderId="11" xfId="0" applyNumberFormat="1" applyFont="1" applyFill="1" applyBorder="1" applyAlignment="1">
      <alignment horizontal="center"/>
    </xf>
    <xf numFmtId="171" fontId="47" fillId="4" borderId="4" xfId="0" applyNumberFormat="1" applyFont="1" applyFill="1" applyBorder="1" applyAlignment="1">
      <alignment horizontal="center"/>
    </xf>
    <xf numFmtId="171" fontId="47" fillId="4" borderId="11" xfId="0" applyNumberFormat="1" applyFont="1" applyFill="1" applyBorder="1" applyAlignment="1">
      <alignment horizontal="center"/>
    </xf>
    <xf numFmtId="2" fontId="47" fillId="4" borderId="4" xfId="0" applyNumberFormat="1" applyFont="1" applyFill="1" applyBorder="1" applyAlignment="1">
      <alignment horizontal="center"/>
    </xf>
    <xf numFmtId="2" fontId="47" fillId="4" borderId="11" xfId="0" applyNumberFormat="1" applyFont="1" applyFill="1" applyBorder="1" applyAlignment="1">
      <alignment horizontal="center"/>
    </xf>
    <xf numFmtId="2" fontId="60" fillId="0" borderId="0" xfId="0" applyNumberFormat="1" applyFont="1" applyFill="1" applyAlignment="1">
      <alignment horizontal="center"/>
    </xf>
    <xf numFmtId="169" fontId="60" fillId="8" borderId="0" xfId="0" applyNumberFormat="1" applyFont="1" applyFill="1"/>
    <xf numFmtId="181" fontId="60" fillId="8" borderId="0" xfId="0" applyNumberFormat="1" applyFont="1" applyFill="1" applyAlignment="1">
      <alignment horizontal="center"/>
    </xf>
    <xf numFmtId="165" fontId="60" fillId="0" borderId="0" xfId="0" applyNumberFormat="1" applyFont="1" applyFill="1" applyAlignment="1">
      <alignment horizontal="center"/>
    </xf>
    <xf numFmtId="169" fontId="60" fillId="0" borderId="0" xfId="0" applyNumberFormat="1" applyFont="1" applyFill="1" applyAlignment="1">
      <alignment horizontal="center"/>
    </xf>
    <xf numFmtId="11" fontId="60" fillId="0" borderId="0" xfId="0" applyNumberFormat="1" applyFont="1" applyFill="1" applyAlignment="1">
      <alignment horizontal="center"/>
    </xf>
    <xf numFmtId="1" fontId="60" fillId="9" borderId="0" xfId="0" applyNumberFormat="1" applyFont="1" applyFill="1" applyAlignment="1">
      <alignment horizontal="center"/>
    </xf>
    <xf numFmtId="181" fontId="45" fillId="10" borderId="0" xfId="0" applyNumberFormat="1" applyFont="1" applyFill="1" applyAlignment="1">
      <alignment horizontal="center"/>
    </xf>
    <xf numFmtId="170" fontId="46" fillId="0" borderId="0" xfId="0" applyNumberFormat="1" applyFont="1" applyFill="1"/>
    <xf numFmtId="181" fontId="46" fillId="0" borderId="0" xfId="0" applyNumberFormat="1" applyFont="1" applyFill="1" applyAlignment="1">
      <alignment horizontal="center"/>
    </xf>
    <xf numFmtId="169" fontId="46" fillId="0" borderId="0" xfId="0" applyNumberFormat="1" applyFont="1" applyFill="1"/>
    <xf numFmtId="0" fontId="59" fillId="10" borderId="0" xfId="0" applyFont="1" applyFill="1"/>
    <xf numFmtId="0" fontId="60" fillId="10" borderId="0" xfId="0" applyFont="1" applyFill="1" applyAlignment="1">
      <alignment horizontal="center"/>
    </xf>
    <xf numFmtId="2" fontId="45" fillId="10" borderId="0" xfId="0" applyNumberFormat="1" applyFont="1" applyFill="1" applyAlignment="1">
      <alignment horizontal="center"/>
    </xf>
    <xf numFmtId="181" fontId="59" fillId="10" borderId="0" xfId="0" applyNumberFormat="1" applyFont="1" applyFill="1" applyAlignment="1">
      <alignment horizontal="center"/>
    </xf>
    <xf numFmtId="11" fontId="60" fillId="5" borderId="0" xfId="0" applyNumberFormat="1" applyFont="1" applyFill="1" applyAlignment="1">
      <alignment horizontal="center"/>
    </xf>
    <xf numFmtId="169" fontId="45" fillId="0" borderId="0" xfId="0" applyNumberFormat="1" applyFont="1" applyAlignment="1">
      <alignment horizontal="right"/>
    </xf>
    <xf numFmtId="169" fontId="46" fillId="0" borderId="0" xfId="0" applyNumberFormat="1" applyFont="1" applyAlignment="1">
      <alignment horizontal="right"/>
    </xf>
    <xf numFmtId="2" fontId="59" fillId="3" borderId="0" xfId="0" applyNumberFormat="1" applyFont="1" applyFill="1"/>
    <xf numFmtId="176" fontId="59" fillId="3" borderId="0" xfId="0" applyNumberFormat="1" applyFont="1" applyFill="1" applyAlignment="1">
      <alignment horizontal="center"/>
    </xf>
    <xf numFmtId="176" fontId="59" fillId="5" borderId="0" xfId="0" applyNumberFormat="1" applyFont="1" applyFill="1" applyAlignment="1">
      <alignment horizontal="center"/>
    </xf>
    <xf numFmtId="169" fontId="60" fillId="0" borderId="0" xfId="0" applyNumberFormat="1" applyFont="1" applyAlignment="1">
      <alignment horizontal="left"/>
    </xf>
    <xf numFmtId="170" fontId="60" fillId="9" borderId="0" xfId="0" applyNumberFormat="1" applyFont="1" applyFill="1" applyAlignment="1">
      <alignment horizontal="center"/>
    </xf>
    <xf numFmtId="181" fontId="60" fillId="0" borderId="0" xfId="0" applyNumberFormat="1" applyFont="1" applyFill="1" applyAlignment="1">
      <alignment horizontal="center"/>
    </xf>
    <xf numFmtId="169" fontId="60" fillId="9" borderId="0" xfId="0" applyNumberFormat="1" applyFont="1" applyFill="1" applyAlignment="1">
      <alignment horizontal="center"/>
    </xf>
    <xf numFmtId="165" fontId="60" fillId="0" borderId="0" xfId="0" applyNumberFormat="1" applyFont="1" applyAlignment="1">
      <alignment horizontal="center"/>
    </xf>
    <xf numFmtId="169" fontId="60" fillId="5" borderId="0" xfId="0" applyNumberFormat="1" applyFont="1" applyFill="1" applyAlignment="1">
      <alignment horizontal="center"/>
    </xf>
    <xf numFmtId="0" fontId="46" fillId="0" borderId="0" xfId="0" applyFont="1" applyFill="1" applyAlignment="1">
      <alignment horizontal="right"/>
    </xf>
    <xf numFmtId="2" fontId="60" fillId="0" borderId="0" xfId="0" applyNumberFormat="1" applyFont="1"/>
    <xf numFmtId="176" fontId="60" fillId="0" borderId="0" xfId="0" applyNumberFormat="1" applyFont="1" applyAlignment="1">
      <alignment horizontal="center"/>
    </xf>
    <xf numFmtId="170" fontId="60" fillId="0" borderId="0" xfId="0" applyNumberFormat="1" applyFont="1" applyAlignment="1">
      <alignment horizontal="center"/>
    </xf>
    <xf numFmtId="181" fontId="60" fillId="3" borderId="0" xfId="0" applyNumberFormat="1" applyFont="1" applyFill="1" applyAlignment="1">
      <alignment horizontal="center"/>
    </xf>
    <xf numFmtId="169" fontId="60" fillId="0" borderId="0" xfId="0" applyNumberFormat="1" applyFont="1" applyAlignment="1">
      <alignment horizontal="center"/>
    </xf>
    <xf numFmtId="11" fontId="60" fillId="0" borderId="0" xfId="0" applyNumberFormat="1" applyFont="1" applyAlignment="1">
      <alignment horizontal="center"/>
    </xf>
    <xf numFmtId="2" fontId="59" fillId="0" borderId="0" xfId="0" applyNumberFormat="1" applyFont="1" applyFill="1"/>
    <xf numFmtId="176" fontId="59" fillId="0" borderId="0" xfId="0" applyNumberFormat="1" applyFont="1" applyFill="1" applyAlignment="1">
      <alignment horizontal="center"/>
    </xf>
    <xf numFmtId="181" fontId="60" fillId="0" borderId="0" xfId="0" applyNumberFormat="1" applyFont="1" applyAlignment="1">
      <alignment horizontal="center"/>
    </xf>
    <xf numFmtId="169" fontId="60" fillId="0" borderId="0" xfId="0" applyNumberFormat="1" applyFont="1" applyAlignment="1">
      <alignment horizontal="right"/>
    </xf>
    <xf numFmtId="2" fontId="45" fillId="11" borderId="0" xfId="0" applyNumberFormat="1" applyFont="1" applyFill="1"/>
    <xf numFmtId="176" fontId="45" fillId="11" borderId="0" xfId="0" applyNumberFormat="1" applyFont="1" applyFill="1" applyAlignment="1">
      <alignment horizontal="center"/>
    </xf>
    <xf numFmtId="2" fontId="45" fillId="3" borderId="0" xfId="0" applyNumberFormat="1" applyFont="1" applyFill="1"/>
    <xf numFmtId="176" fontId="45" fillId="3" borderId="0" xfId="0" applyNumberFormat="1" applyFont="1" applyFill="1" applyAlignment="1">
      <alignment horizontal="center"/>
    </xf>
    <xf numFmtId="176" fontId="45" fillId="5" borderId="0" xfId="0" applyNumberFormat="1" applyFont="1" applyFill="1" applyAlignment="1">
      <alignment horizontal="center"/>
    </xf>
    <xf numFmtId="169" fontId="46" fillId="0" borderId="0" xfId="0" applyNumberFormat="1" applyFont="1" applyAlignment="1">
      <alignment horizontal="left"/>
    </xf>
    <xf numFmtId="170" fontId="46" fillId="0" borderId="0" xfId="0" applyNumberFormat="1" applyFont="1" applyAlignment="1">
      <alignment horizontal="center"/>
    </xf>
    <xf numFmtId="181" fontId="46" fillId="0" borderId="0" xfId="0" applyNumberFormat="1" applyFont="1" applyAlignment="1">
      <alignment horizontal="center"/>
    </xf>
    <xf numFmtId="169" fontId="46" fillId="0" borderId="0" xfId="0" applyNumberFormat="1" applyFont="1" applyAlignment="1">
      <alignment horizontal="center"/>
    </xf>
    <xf numFmtId="165" fontId="46" fillId="0" borderId="0" xfId="0" applyNumberFormat="1" applyFont="1" applyAlignment="1">
      <alignment horizontal="center"/>
    </xf>
    <xf numFmtId="169" fontId="46" fillId="5" borderId="0" xfId="0" applyNumberFormat="1" applyFont="1" applyFill="1" applyAlignment="1">
      <alignment horizontal="center"/>
    </xf>
    <xf numFmtId="11" fontId="46" fillId="0" borderId="0" xfId="0" applyNumberFormat="1" applyFont="1" applyAlignment="1">
      <alignment horizontal="center"/>
    </xf>
    <xf numFmtId="0" fontId="45" fillId="0" borderId="0" xfId="0" applyFont="1" applyFill="1" applyBorder="1" applyAlignment="1">
      <alignment horizontal="left"/>
    </xf>
    <xf numFmtId="0" fontId="46" fillId="0" borderId="0" xfId="0" applyFont="1" applyFill="1" applyBorder="1" applyAlignment="1">
      <alignment horizontal="center"/>
    </xf>
    <xf numFmtId="0" fontId="59" fillId="0" borderId="0" xfId="0" applyFont="1" applyFill="1" applyBorder="1" applyAlignment="1">
      <alignment horizontal="center"/>
    </xf>
    <xf numFmtId="0" fontId="51" fillId="0" borderId="0" xfId="0" applyFont="1" applyFill="1" applyBorder="1" applyAlignment="1">
      <alignment horizontal="center"/>
    </xf>
    <xf numFmtId="0" fontId="60" fillId="0" borderId="0" xfId="0" applyFont="1" applyFill="1" applyBorder="1" applyAlignment="1">
      <alignment horizontal="center"/>
    </xf>
    <xf numFmtId="0" fontId="52" fillId="0" borderId="0" xfId="0" applyFont="1" applyFill="1" applyBorder="1" applyAlignment="1">
      <alignment horizontal="center"/>
    </xf>
    <xf numFmtId="0" fontId="60" fillId="0" borderId="0" xfId="0" applyFont="1" applyAlignment="1">
      <alignment horizontal="center"/>
    </xf>
    <xf numFmtId="0" fontId="60" fillId="0" borderId="0" xfId="0" applyFont="1" applyAlignment="1">
      <alignment horizontal="center" vertical="center"/>
    </xf>
    <xf numFmtId="164" fontId="60" fillId="0" borderId="0" xfId="0" applyNumberFormat="1" applyFont="1"/>
    <xf numFmtId="0" fontId="55" fillId="0" borderId="0" xfId="0" applyFont="1" applyFill="1" applyAlignment="1">
      <alignment horizontal="center"/>
    </xf>
    <xf numFmtId="0" fontId="55" fillId="0" borderId="0" xfId="0" applyFont="1" applyFill="1" applyAlignment="1">
      <alignment horizontal="left"/>
    </xf>
    <xf numFmtId="11" fontId="60" fillId="0" borderId="0" xfId="0" applyNumberFormat="1" applyFont="1"/>
    <xf numFmtId="0" fontId="45" fillId="0" borderId="0" xfId="0" applyFont="1" applyFill="1" applyAlignment="1">
      <alignment horizontal="center"/>
    </xf>
    <xf numFmtId="164" fontId="46" fillId="0" borderId="0" xfId="0" applyNumberFormat="1" applyFont="1"/>
    <xf numFmtId="0" fontId="59" fillId="0" borderId="0" xfId="0" applyFont="1" applyFill="1" applyAlignment="1">
      <alignment horizontal="center"/>
    </xf>
    <xf numFmtId="0" fontId="58" fillId="0" borderId="0" xfId="0" applyFont="1" applyFill="1" applyAlignment="1">
      <alignment horizontal="center"/>
    </xf>
    <xf numFmtId="164" fontId="45" fillId="0" borderId="0" xfId="0" applyNumberFormat="1" applyFont="1"/>
    <xf numFmtId="165" fontId="45" fillId="0" borderId="0" xfId="0" applyNumberFormat="1" applyFont="1"/>
    <xf numFmtId="11" fontId="46" fillId="0" borderId="0" xfId="0" applyNumberFormat="1" applyFont="1"/>
    <xf numFmtId="0" fontId="63" fillId="0" borderId="0" xfId="0" applyFont="1" applyFill="1" applyAlignment="1">
      <alignment horizontal="center"/>
    </xf>
    <xf numFmtId="164" fontId="64" fillId="0" borderId="0" xfId="0" applyNumberFormat="1" applyFont="1"/>
    <xf numFmtId="0" fontId="64" fillId="0" borderId="0" xfId="0" applyFont="1" applyFill="1" applyAlignment="1">
      <alignment horizontal="center"/>
    </xf>
    <xf numFmtId="165" fontId="64" fillId="0" borderId="0" xfId="0" applyNumberFormat="1" applyFont="1"/>
    <xf numFmtId="164" fontId="59" fillId="4" borderId="0" xfId="0" applyNumberFormat="1" applyFont="1" applyFill="1"/>
    <xf numFmtId="164" fontId="57" fillId="0" borderId="0" xfId="0" applyNumberFormat="1" applyFont="1" applyAlignment="1">
      <alignment horizontal="center"/>
    </xf>
    <xf numFmtId="11" fontId="45" fillId="0" borderId="0" xfId="0" applyNumberFormat="1" applyFont="1"/>
    <xf numFmtId="0" fontId="46" fillId="0" borderId="0" xfId="0" applyFont="1" applyAlignment="1">
      <alignment horizontal="center"/>
    </xf>
    <xf numFmtId="0" fontId="66" fillId="0" borderId="0" xfId="0" applyFont="1" applyAlignment="1">
      <alignment horizontal="left"/>
    </xf>
    <xf numFmtId="0" fontId="45" fillId="0" borderId="0" xfId="0" applyFont="1" applyFill="1" applyAlignment="1">
      <alignment horizontal="right"/>
    </xf>
    <xf numFmtId="165" fontId="45" fillId="10" borderId="0" xfId="0" applyNumberFormat="1" applyFont="1" applyFill="1" applyAlignment="1">
      <alignment horizontal="center"/>
    </xf>
    <xf numFmtId="2" fontId="6" fillId="10" borderId="0" xfId="5" applyNumberFormat="1" applyFont="1" applyFill="1" applyBorder="1" applyAlignment="1">
      <alignment horizontal="center"/>
    </xf>
    <xf numFmtId="2" fontId="6" fillId="10" borderId="1" xfId="5" applyNumberFormat="1" applyFont="1" applyFill="1" applyBorder="1" applyAlignment="1">
      <alignment horizontal="center"/>
    </xf>
    <xf numFmtId="2" fontId="62" fillId="0" borderId="0" xfId="0" applyNumberFormat="1" applyFont="1" applyFill="1" applyBorder="1" applyAlignment="1">
      <alignment horizontal="center"/>
    </xf>
    <xf numFmtId="2" fontId="47" fillId="0" borderId="0" xfId="0" applyNumberFormat="1" applyFont="1" applyFill="1" applyBorder="1" applyAlignment="1">
      <alignment horizontal="center"/>
    </xf>
    <xf numFmtId="2" fontId="62" fillId="4" borderId="29" xfId="0" applyNumberFormat="1" applyFont="1" applyFill="1" applyBorder="1" applyAlignment="1">
      <alignment horizontal="center"/>
    </xf>
    <xf numFmtId="2" fontId="62" fillId="4" borderId="30" xfId="0" applyNumberFormat="1" applyFont="1" applyFill="1" applyBorder="1" applyAlignment="1">
      <alignment horizontal="center"/>
    </xf>
    <xf numFmtId="171" fontId="62" fillId="4" borderId="29" xfId="0" applyNumberFormat="1" applyFont="1" applyFill="1" applyBorder="1" applyAlignment="1">
      <alignment horizontal="center"/>
    </xf>
    <xf numFmtId="171" fontId="62" fillId="4" borderId="30" xfId="0" applyNumberFormat="1" applyFont="1" applyFill="1" applyBorder="1" applyAlignment="1">
      <alignment horizontal="center"/>
    </xf>
    <xf numFmtId="171" fontId="62" fillId="0" borderId="0" xfId="0" applyNumberFormat="1" applyFont="1" applyFill="1" applyBorder="1" applyAlignment="1">
      <alignment horizontal="center"/>
    </xf>
    <xf numFmtId="171" fontId="47" fillId="0" borderId="0" xfId="0" applyNumberFormat="1" applyFont="1" applyFill="1" applyBorder="1" applyAlignment="1">
      <alignment horizontal="center"/>
    </xf>
    <xf numFmtId="0" fontId="45" fillId="0" borderId="0" xfId="0" applyFont="1" applyAlignment="1">
      <alignment horizontal="left"/>
    </xf>
    <xf numFmtId="167" fontId="60" fillId="0" borderId="0" xfId="0" applyNumberFormat="1" applyFont="1"/>
    <xf numFmtId="0" fontId="1" fillId="5" borderId="3" xfId="0" applyFont="1" applyFill="1" applyBorder="1" applyAlignment="1">
      <alignment horizontal="center"/>
    </xf>
    <xf numFmtId="171" fontId="70" fillId="4" borderId="4" xfId="0" applyNumberFormat="1" applyFont="1" applyFill="1" applyBorder="1" applyAlignment="1">
      <alignment horizontal="center"/>
    </xf>
    <xf numFmtId="2" fontId="70" fillId="4" borderId="4" xfId="0" applyNumberFormat="1" applyFont="1" applyFill="1" applyBorder="1" applyAlignment="1">
      <alignment horizontal="center"/>
    </xf>
    <xf numFmtId="2" fontId="70" fillId="4" borderId="11" xfId="0" applyNumberFormat="1" applyFont="1" applyFill="1" applyBorder="1" applyAlignment="1">
      <alignment horizontal="center"/>
    </xf>
    <xf numFmtId="2" fontId="70" fillId="4" borderId="3" xfId="0" applyNumberFormat="1" applyFont="1" applyFill="1" applyBorder="1" applyAlignment="1">
      <alignment horizontal="center"/>
    </xf>
    <xf numFmtId="167" fontId="70" fillId="4" borderId="3" xfId="0" applyNumberFormat="1" applyFont="1" applyFill="1" applyBorder="1" applyAlignment="1">
      <alignment horizontal="center"/>
    </xf>
    <xf numFmtId="167" fontId="70" fillId="4" borderId="6" xfId="0" applyNumberFormat="1" applyFont="1" applyFill="1" applyBorder="1" applyAlignment="1">
      <alignment horizontal="center"/>
    </xf>
    <xf numFmtId="2" fontId="70" fillId="4" borderId="28" xfId="0" applyNumberFormat="1" applyFont="1" applyFill="1" applyBorder="1" applyAlignment="1">
      <alignment horizontal="center"/>
    </xf>
    <xf numFmtId="2" fontId="70" fillId="4" borderId="31" xfId="0" applyNumberFormat="1" applyFont="1" applyFill="1" applyBorder="1" applyAlignment="1">
      <alignment horizontal="center"/>
    </xf>
    <xf numFmtId="171" fontId="70" fillId="4" borderId="27" xfId="0" applyNumberFormat="1" applyFont="1" applyFill="1" applyBorder="1" applyAlignment="1">
      <alignment horizontal="center"/>
    </xf>
    <xf numFmtId="167" fontId="70" fillId="4" borderId="31" xfId="0" applyNumberFormat="1" applyFont="1" applyFill="1" applyBorder="1" applyAlignment="1">
      <alignment horizontal="center"/>
    </xf>
    <xf numFmtId="165" fontId="62" fillId="4" borderId="4" xfId="0" applyNumberFormat="1" applyFont="1" applyFill="1" applyBorder="1" applyAlignment="1">
      <alignment horizontal="center"/>
    </xf>
    <xf numFmtId="165" fontId="62" fillId="4" borderId="11" xfId="0" applyNumberFormat="1" applyFont="1" applyFill="1" applyBorder="1" applyAlignment="1">
      <alignment horizontal="center"/>
    </xf>
    <xf numFmtId="165" fontId="47" fillId="4" borderId="4" xfId="0" applyNumberFormat="1" applyFont="1" applyFill="1" applyBorder="1" applyAlignment="1">
      <alignment horizontal="center"/>
    </xf>
    <xf numFmtId="165" fontId="47" fillId="4" borderId="11" xfId="0" applyNumberFormat="1" applyFont="1" applyFill="1" applyBorder="1" applyAlignment="1">
      <alignment horizontal="center"/>
    </xf>
    <xf numFmtId="165" fontId="59" fillId="3" borderId="0" xfId="0" applyNumberFormat="1" applyFont="1" applyFill="1"/>
    <xf numFmtId="165" fontId="59" fillId="2" borderId="0" xfId="0" applyNumberFormat="1" applyFont="1" applyFill="1" applyAlignment="1">
      <alignment horizontal="center"/>
    </xf>
    <xf numFmtId="165" fontId="60" fillId="0" borderId="0" xfId="0" applyNumberFormat="1" applyFont="1"/>
    <xf numFmtId="165" fontId="59" fillId="3" borderId="0" xfId="0" applyNumberFormat="1" applyFont="1" applyFill="1" applyAlignment="1">
      <alignment horizontal="center"/>
    </xf>
    <xf numFmtId="165" fontId="45" fillId="2" borderId="0" xfId="0" applyNumberFormat="1" applyFont="1" applyFill="1"/>
    <xf numFmtId="165" fontId="45" fillId="2" borderId="0" xfId="0" applyNumberFormat="1" applyFont="1" applyFill="1" applyAlignment="1">
      <alignment horizontal="center"/>
    </xf>
    <xf numFmtId="164" fontId="71" fillId="0" borderId="0" xfId="0" applyNumberFormat="1" applyFont="1"/>
    <xf numFmtId="171" fontId="70" fillId="4" borderId="31" xfId="0" applyNumberFormat="1" applyFont="1" applyFill="1" applyBorder="1" applyAlignment="1">
      <alignment horizontal="center"/>
    </xf>
    <xf numFmtId="171" fontId="70" fillId="4" borderId="3" xfId="0" applyNumberFormat="1" applyFont="1" applyFill="1" applyBorder="1" applyAlignment="1">
      <alignment horizontal="center"/>
    </xf>
    <xf numFmtId="165" fontId="70" fillId="4" borderId="31" xfId="0" applyNumberFormat="1" applyFont="1" applyFill="1" applyBorder="1" applyAlignment="1">
      <alignment horizontal="center"/>
    </xf>
    <xf numFmtId="165" fontId="15" fillId="4" borderId="3" xfId="0" applyNumberFormat="1" applyFont="1" applyFill="1" applyBorder="1" applyAlignment="1">
      <alignment horizontal="center"/>
    </xf>
    <xf numFmtId="165" fontId="70" fillId="4" borderId="3" xfId="0" applyNumberFormat="1" applyFont="1" applyFill="1" applyBorder="1" applyAlignment="1">
      <alignment horizontal="center"/>
    </xf>
    <xf numFmtId="165" fontId="15" fillId="4" borderId="13" xfId="0" applyNumberFormat="1" applyFont="1" applyFill="1" applyBorder="1" applyAlignment="1">
      <alignment horizontal="center"/>
    </xf>
    <xf numFmtId="1" fontId="14" fillId="5" borderId="3" xfId="0" applyNumberFormat="1" applyFont="1" applyFill="1" applyBorder="1" applyAlignment="1">
      <alignment horizontal="center"/>
    </xf>
    <xf numFmtId="170" fontId="14" fillId="5" borderId="32" xfId="0" applyNumberFormat="1" applyFont="1" applyFill="1" applyBorder="1" applyAlignment="1">
      <alignment horizontal="center"/>
    </xf>
    <xf numFmtId="170" fontId="14" fillId="5" borderId="3" xfId="0" applyNumberFormat="1" applyFont="1" applyFill="1" applyBorder="1" applyAlignment="1">
      <alignment horizontal="center"/>
    </xf>
    <xf numFmtId="167" fontId="14" fillId="5" borderId="3" xfId="0" applyNumberFormat="1" applyFont="1" applyFill="1" applyBorder="1" applyAlignment="1">
      <alignment horizontal="center"/>
    </xf>
    <xf numFmtId="167" fontId="14" fillId="5" borderId="32" xfId="0" applyNumberFormat="1" applyFont="1" applyFill="1" applyBorder="1" applyAlignment="1">
      <alignment horizontal="center"/>
    </xf>
    <xf numFmtId="167" fontId="48" fillId="5" borderId="15" xfId="0" applyNumberFormat="1" applyFont="1" applyFill="1" applyBorder="1" applyAlignment="1">
      <alignment horizontal="center"/>
    </xf>
    <xf numFmtId="167" fontId="14" fillId="5" borderId="13" xfId="0" applyNumberFormat="1" applyFont="1" applyFill="1" applyBorder="1" applyAlignment="1">
      <alignment horizontal="center"/>
    </xf>
    <xf numFmtId="0" fontId="70" fillId="0" borderId="0" xfId="0" applyFont="1" applyFill="1" applyBorder="1" applyAlignment="1">
      <alignment horizontal="center"/>
    </xf>
    <xf numFmtId="164" fontId="16" fillId="0" borderId="0" xfId="0" applyNumberFormat="1" applyFont="1" applyAlignment="1">
      <alignment horizontal="center"/>
    </xf>
    <xf numFmtId="164" fontId="18" fillId="0" borderId="0" xfId="0" applyNumberFormat="1" applyFont="1"/>
    <xf numFmtId="164" fontId="11" fillId="0" borderId="0" xfId="0" applyNumberFormat="1" applyFont="1" applyAlignment="1">
      <alignment horizontal="center"/>
    </xf>
    <xf numFmtId="164" fontId="6" fillId="0" borderId="0" xfId="0" applyNumberFormat="1" applyFont="1" applyAlignment="1">
      <alignment horizontal="center"/>
    </xf>
    <xf numFmtId="10" fontId="11" fillId="0" borderId="0" xfId="0" applyNumberFormat="1" applyFont="1" applyFill="1"/>
    <xf numFmtId="10" fontId="7" fillId="0" borderId="0" xfId="0" applyNumberFormat="1" applyFont="1"/>
    <xf numFmtId="0" fontId="40" fillId="4" borderId="24" xfId="0" applyFont="1" applyFill="1" applyBorder="1" applyAlignment="1">
      <alignment vertical="center"/>
    </xf>
    <xf numFmtId="0" fontId="10" fillId="0" borderId="0" xfId="0" applyFont="1" applyFill="1" applyAlignment="1">
      <alignment horizontal="left"/>
    </xf>
    <xf numFmtId="1" fontId="14" fillId="5" borderId="4" xfId="0" applyNumberFormat="1" applyFont="1" applyFill="1" applyBorder="1" applyAlignment="1">
      <alignment horizontal="center"/>
    </xf>
    <xf numFmtId="167" fontId="14" fillId="5" borderId="29" xfId="0" applyNumberFormat="1" applyFont="1" applyFill="1" applyBorder="1" applyAlignment="1">
      <alignment horizontal="center"/>
    </xf>
    <xf numFmtId="167" fontId="14" fillId="5" borderId="4" xfId="0" applyNumberFormat="1" applyFont="1" applyFill="1" applyBorder="1" applyAlignment="1">
      <alignment horizontal="center"/>
    </xf>
    <xf numFmtId="2" fontId="70" fillId="4" borderId="27" xfId="0" applyNumberFormat="1" applyFont="1" applyFill="1" applyBorder="1" applyAlignment="1">
      <alignment horizontal="center"/>
    </xf>
    <xf numFmtId="171" fontId="70" fillId="4" borderId="28" xfId="0" applyNumberFormat="1" applyFont="1" applyFill="1" applyBorder="1" applyAlignment="1">
      <alignment horizontal="center"/>
    </xf>
    <xf numFmtId="171" fontId="70" fillId="4" borderId="11" xfId="0" applyNumberFormat="1" applyFont="1" applyFill="1" applyBorder="1" applyAlignment="1">
      <alignment horizontal="center"/>
    </xf>
    <xf numFmtId="164" fontId="7" fillId="6" borderId="0" xfId="0" applyNumberFormat="1" applyFont="1" applyFill="1"/>
    <xf numFmtId="0" fontId="6" fillId="0" borderId="0" xfId="0" applyFont="1" applyBorder="1" applyAlignment="1">
      <alignment horizontal="left"/>
    </xf>
    <xf numFmtId="0" fontId="48" fillId="5" borderId="29" xfId="0" applyFont="1" applyFill="1" applyBorder="1" applyAlignment="1">
      <alignment horizontal="center"/>
    </xf>
    <xf numFmtId="0" fontId="48" fillId="5" borderId="1" xfId="0" applyFont="1" applyFill="1" applyBorder="1" applyAlignment="1">
      <alignment horizontal="center"/>
    </xf>
    <xf numFmtId="0" fontId="1" fillId="5" borderId="32" xfId="0" applyFont="1" applyFill="1" applyBorder="1" applyAlignment="1">
      <alignment horizontal="center"/>
    </xf>
    <xf numFmtId="0" fontId="46" fillId="5" borderId="31" xfId="0" applyFont="1" applyFill="1" applyBorder="1" applyAlignment="1">
      <alignment horizontal="center"/>
    </xf>
    <xf numFmtId="0" fontId="14" fillId="5" borderId="31" xfId="0" applyFont="1" applyFill="1" applyBorder="1" applyAlignment="1">
      <alignment horizontal="center"/>
    </xf>
    <xf numFmtId="183" fontId="59" fillId="5" borderId="0" xfId="0" applyNumberFormat="1" applyFont="1" applyFill="1" applyAlignment="1">
      <alignment horizontal="center"/>
    </xf>
    <xf numFmtId="0" fontId="12" fillId="0" borderId="0" xfId="0" applyFont="1" applyFill="1" applyBorder="1" applyAlignment="1">
      <alignment horizontal="center"/>
    </xf>
    <xf numFmtId="0" fontId="62" fillId="0" borderId="0" xfId="0" applyFont="1" applyFill="1" applyBorder="1" applyAlignment="1">
      <alignment horizontal="center"/>
    </xf>
    <xf numFmtId="0" fontId="62" fillId="0" borderId="0" xfId="0" applyFont="1" applyAlignment="1">
      <alignment horizontal="center"/>
    </xf>
    <xf numFmtId="0" fontId="62" fillId="0" borderId="0" xfId="0" applyFont="1" applyBorder="1" applyAlignment="1">
      <alignment horizontal="center"/>
    </xf>
    <xf numFmtId="0" fontId="39" fillId="0" borderId="0" xfId="0" applyFont="1" applyBorder="1" applyAlignment="1">
      <alignment horizontal="right"/>
    </xf>
    <xf numFmtId="0" fontId="47" fillId="0" borderId="0" xfId="0" applyFont="1" applyBorder="1" applyAlignment="1">
      <alignment horizontal="center"/>
    </xf>
    <xf numFmtId="0" fontId="12" fillId="0" borderId="0" xfId="0" applyFont="1" applyBorder="1" applyAlignment="1">
      <alignment horizontal="left"/>
    </xf>
    <xf numFmtId="2" fontId="73" fillId="6" borderId="27" xfId="0" applyNumberFormat="1" applyFont="1" applyFill="1" applyBorder="1" applyAlignment="1" applyProtection="1">
      <alignment horizontal="center"/>
    </xf>
    <xf numFmtId="176" fontId="73" fillId="6" borderId="28" xfId="0" applyNumberFormat="1" applyFont="1" applyFill="1" applyBorder="1" applyAlignment="1" applyProtection="1">
      <alignment horizontal="center"/>
    </xf>
    <xf numFmtId="2" fontId="73" fillId="6" borderId="27" xfId="0" applyNumberFormat="1" applyFont="1" applyFill="1" applyBorder="1" applyAlignment="1">
      <alignment horizontal="center"/>
    </xf>
    <xf numFmtId="0" fontId="74" fillId="0" borderId="0" xfId="0" applyFont="1" applyAlignment="1">
      <alignment horizontal="center"/>
    </xf>
    <xf numFmtId="0" fontId="74" fillId="0" borderId="6" xfId="0" applyFont="1" applyBorder="1" applyAlignment="1">
      <alignment horizontal="center"/>
    </xf>
    <xf numFmtId="0" fontId="74" fillId="0" borderId="5" xfId="0" applyFont="1" applyBorder="1" applyAlignment="1">
      <alignment horizontal="center"/>
    </xf>
    <xf numFmtId="0" fontId="12" fillId="0" borderId="0" xfId="0" applyFont="1" applyBorder="1" applyAlignment="1">
      <alignment horizontal="right"/>
    </xf>
    <xf numFmtId="2" fontId="73" fillId="6" borderId="29" xfId="0" applyNumberFormat="1" applyFont="1" applyFill="1" applyBorder="1" applyAlignment="1" applyProtection="1">
      <alignment horizontal="center"/>
    </xf>
    <xf numFmtId="176" fontId="73" fillId="6" borderId="30" xfId="0" applyNumberFormat="1" applyFont="1" applyFill="1" applyBorder="1" applyAlignment="1" applyProtection="1">
      <alignment horizontal="center"/>
    </xf>
    <xf numFmtId="2" fontId="73" fillId="6" borderId="4" xfId="0" applyNumberFormat="1" applyFont="1" applyFill="1" applyBorder="1" applyAlignment="1">
      <alignment horizontal="center"/>
    </xf>
    <xf numFmtId="176" fontId="73" fillId="6" borderId="11" xfId="0" applyNumberFormat="1" applyFont="1" applyFill="1" applyBorder="1" applyAlignment="1" applyProtection="1">
      <alignment horizontal="center"/>
    </xf>
    <xf numFmtId="0" fontId="73" fillId="0" borderId="0" xfId="0" applyFont="1" applyBorder="1" applyAlignment="1">
      <alignment horizontal="center"/>
    </xf>
    <xf numFmtId="165" fontId="73" fillId="6" borderId="29" xfId="0" applyNumberFormat="1" applyFont="1" applyFill="1" applyBorder="1" applyAlignment="1">
      <alignment horizontal="center"/>
    </xf>
    <xf numFmtId="0" fontId="20" fillId="0" borderId="7" xfId="0" applyFont="1" applyBorder="1" applyAlignment="1">
      <alignment horizontal="center"/>
    </xf>
    <xf numFmtId="0" fontId="20" fillId="0" borderId="8" xfId="0" applyFont="1" applyBorder="1" applyAlignment="1">
      <alignment horizontal="center"/>
    </xf>
    <xf numFmtId="0" fontId="20" fillId="0" borderId="9" xfId="0" applyFont="1" applyBorder="1" applyAlignment="1">
      <alignment horizontal="center"/>
    </xf>
    <xf numFmtId="0" fontId="20" fillId="0" borderId="5" xfId="0" applyFont="1" applyBorder="1" applyAlignment="1">
      <alignment horizontal="center"/>
    </xf>
    <xf numFmtId="0" fontId="74" fillId="0" borderId="17" xfId="0" applyFont="1" applyBorder="1" applyAlignment="1">
      <alignment horizontal="center"/>
    </xf>
    <xf numFmtId="0" fontId="74" fillId="0" borderId="18" xfId="0" applyFont="1" applyBorder="1" applyAlignment="1">
      <alignment horizontal="center"/>
    </xf>
    <xf numFmtId="0" fontId="74" fillId="0" borderId="19" xfId="0" applyFont="1" applyBorder="1" applyAlignment="1">
      <alignment horizontal="center"/>
    </xf>
    <xf numFmtId="0" fontId="39" fillId="0" borderId="0" xfId="0" applyFont="1" applyBorder="1" applyAlignment="1">
      <alignment horizontal="center"/>
    </xf>
    <xf numFmtId="165" fontId="73" fillId="6" borderId="27" xfId="0" applyNumberFormat="1" applyFont="1" applyFill="1" applyBorder="1" applyAlignment="1">
      <alignment horizontal="center"/>
    </xf>
    <xf numFmtId="177" fontId="73" fillId="6" borderId="28" xfId="0" applyNumberFormat="1" applyFont="1" applyFill="1" applyBorder="1" applyAlignment="1">
      <alignment horizontal="center"/>
    </xf>
    <xf numFmtId="168" fontId="73" fillId="6" borderId="27" xfId="0" applyNumberFormat="1" applyFont="1" applyFill="1" applyBorder="1" applyAlignment="1">
      <alignment horizontal="center"/>
    </xf>
    <xf numFmtId="178" fontId="73" fillId="6" borderId="28" xfId="0" applyNumberFormat="1" applyFont="1" applyFill="1" applyBorder="1" applyAlignment="1">
      <alignment horizontal="center"/>
    </xf>
    <xf numFmtId="177" fontId="73" fillId="6" borderId="30" xfId="0" applyNumberFormat="1" applyFont="1" applyFill="1" applyBorder="1" applyAlignment="1">
      <alignment horizontal="center"/>
    </xf>
    <xf numFmtId="168" fontId="73" fillId="6" borderId="4" xfId="0" applyNumberFormat="1" applyFont="1" applyFill="1" applyBorder="1" applyAlignment="1">
      <alignment horizontal="center"/>
    </xf>
    <xf numFmtId="178" fontId="73" fillId="6" borderId="11" xfId="0" applyNumberFormat="1" applyFont="1" applyFill="1" applyBorder="1" applyAlignment="1">
      <alignment horizontal="center"/>
    </xf>
    <xf numFmtId="0" fontId="47" fillId="6" borderId="29" xfId="0" applyFont="1" applyFill="1" applyBorder="1" applyAlignment="1">
      <alignment horizontal="center"/>
    </xf>
    <xf numFmtId="0" fontId="47" fillId="6" borderId="30" xfId="0" applyFont="1" applyFill="1" applyBorder="1" applyAlignment="1">
      <alignment horizontal="center"/>
    </xf>
    <xf numFmtId="0" fontId="47" fillId="6" borderId="33" xfId="0" applyFont="1" applyFill="1" applyBorder="1" applyAlignment="1">
      <alignment horizontal="center"/>
    </xf>
    <xf numFmtId="2" fontId="73" fillId="0" borderId="4" xfId="0" applyNumberFormat="1" applyFont="1" applyFill="1" applyBorder="1" applyAlignment="1">
      <alignment horizontal="center"/>
    </xf>
    <xf numFmtId="0" fontId="73" fillId="6" borderId="28" xfId="0" applyFont="1" applyFill="1" applyBorder="1" applyAlignment="1">
      <alignment horizontal="center"/>
    </xf>
    <xf numFmtId="182" fontId="73" fillId="6" borderId="4" xfId="0" applyNumberFormat="1" applyFont="1" applyFill="1" applyBorder="1" applyAlignment="1">
      <alignment horizontal="center"/>
    </xf>
    <xf numFmtId="0" fontId="73" fillId="6" borderId="11" xfId="0" applyFont="1" applyFill="1" applyBorder="1" applyAlignment="1">
      <alignment horizontal="center"/>
    </xf>
    <xf numFmtId="179" fontId="73" fillId="6" borderId="4" xfId="0" applyNumberFormat="1" applyFont="1" applyFill="1" applyBorder="1" applyAlignment="1">
      <alignment horizontal="center"/>
    </xf>
    <xf numFmtId="180" fontId="73" fillId="6" borderId="11" xfId="0" applyNumberFormat="1" applyFont="1" applyFill="1" applyBorder="1" applyAlignment="1">
      <alignment horizontal="center"/>
    </xf>
    <xf numFmtId="11" fontId="73" fillId="6" borderId="4" xfId="0" applyNumberFormat="1" applyFont="1" applyFill="1" applyBorder="1" applyAlignment="1">
      <alignment horizontal="center"/>
    </xf>
    <xf numFmtId="164" fontId="73" fillId="6" borderId="4" xfId="0" applyNumberFormat="1" applyFont="1" applyFill="1" applyBorder="1" applyAlignment="1">
      <alignment horizontal="center"/>
    </xf>
    <xf numFmtId="164" fontId="73" fillId="6" borderId="29" xfId="0" applyNumberFormat="1" applyFont="1" applyFill="1" applyBorder="1" applyAlignment="1">
      <alignment horizontal="center"/>
    </xf>
    <xf numFmtId="180" fontId="73" fillId="6" borderId="30" xfId="0" applyNumberFormat="1" applyFont="1" applyFill="1" applyBorder="1" applyAlignment="1">
      <alignment horizontal="center"/>
    </xf>
    <xf numFmtId="11" fontId="73" fillId="6" borderId="29" xfId="0" applyNumberFormat="1" applyFont="1" applyFill="1" applyBorder="1" applyAlignment="1">
      <alignment horizontal="center"/>
    </xf>
    <xf numFmtId="0" fontId="39" fillId="0" borderId="8" xfId="0" applyFont="1" applyBorder="1" applyAlignment="1">
      <alignment horizontal="right"/>
    </xf>
    <xf numFmtId="167" fontId="47" fillId="0" borderId="8" xfId="0" applyNumberFormat="1" applyFont="1" applyBorder="1" applyAlignment="1">
      <alignment horizontal="center"/>
    </xf>
    <xf numFmtId="0" fontId="47" fillId="0" borderId="9" xfId="0" applyFont="1" applyBorder="1" applyAlignment="1">
      <alignment horizontal="center"/>
    </xf>
    <xf numFmtId="0" fontId="47" fillId="0" borderId="7" xfId="0" applyFont="1" applyBorder="1" applyAlignment="1">
      <alignment horizontal="center"/>
    </xf>
    <xf numFmtId="0" fontId="47" fillId="0" borderId="0" xfId="0" applyFont="1" applyAlignment="1">
      <alignment horizontal="center"/>
    </xf>
    <xf numFmtId="180" fontId="47" fillId="6" borderId="11" xfId="0" applyNumberFormat="1" applyFont="1" applyFill="1" applyBorder="1" applyAlignment="1">
      <alignment horizontal="center"/>
    </xf>
    <xf numFmtId="180" fontId="47" fillId="6" borderId="30" xfId="0" applyNumberFormat="1" applyFont="1" applyFill="1" applyBorder="1" applyAlignment="1">
      <alignment horizontal="center"/>
    </xf>
    <xf numFmtId="182" fontId="73" fillId="6" borderId="29" xfId="0" applyNumberFormat="1" applyFont="1" applyFill="1" applyBorder="1" applyAlignment="1">
      <alignment horizontal="center"/>
    </xf>
    <xf numFmtId="0" fontId="74" fillId="0" borderId="0" xfId="0" applyFont="1" applyBorder="1" applyAlignment="1">
      <alignment horizontal="center"/>
    </xf>
    <xf numFmtId="0" fontId="15" fillId="6" borderId="27" xfId="0" applyFont="1" applyFill="1" applyBorder="1" applyAlignment="1">
      <alignment horizontal="center"/>
    </xf>
    <xf numFmtId="0" fontId="15" fillId="6" borderId="28" xfId="0" applyFont="1" applyFill="1" applyBorder="1" applyAlignment="1">
      <alignment horizontal="center"/>
    </xf>
    <xf numFmtId="0" fontId="15" fillId="6" borderId="4" xfId="0" applyFont="1" applyFill="1" applyBorder="1" applyAlignment="1">
      <alignment horizontal="center"/>
    </xf>
    <xf numFmtId="0" fontId="15" fillId="6" borderId="11" xfId="0" applyFont="1" applyFill="1" applyBorder="1" applyAlignment="1">
      <alignment horizontal="center"/>
    </xf>
    <xf numFmtId="167" fontId="76" fillId="5" borderId="34" xfId="0" applyNumberFormat="1" applyFont="1" applyFill="1" applyBorder="1" applyAlignment="1">
      <alignment horizontal="center"/>
    </xf>
    <xf numFmtId="167" fontId="76" fillId="5" borderId="15" xfId="0" applyNumberFormat="1" applyFont="1" applyFill="1" applyBorder="1" applyAlignment="1">
      <alignment horizontal="center"/>
    </xf>
    <xf numFmtId="182" fontId="1" fillId="6" borderId="4" xfId="0" applyNumberFormat="1" applyFont="1" applyFill="1" applyBorder="1" applyAlignment="1">
      <alignment horizontal="center"/>
    </xf>
    <xf numFmtId="168" fontId="73" fillId="6" borderId="4" xfId="1" applyNumberFormat="1" applyFont="1" applyFill="1" applyBorder="1" applyAlignment="1">
      <alignment horizontal="center"/>
    </xf>
    <xf numFmtId="182" fontId="1" fillId="6" borderId="29" xfId="0" applyNumberFormat="1" applyFont="1" applyFill="1" applyBorder="1" applyAlignment="1">
      <alignment horizontal="center"/>
    </xf>
    <xf numFmtId="174" fontId="15" fillId="0" borderId="0" xfId="0" applyNumberFormat="1" applyFont="1" applyAlignment="1">
      <alignment horizontal="center"/>
    </xf>
    <xf numFmtId="178" fontId="73" fillId="0" borderId="8" xfId="0" applyNumberFormat="1" applyFont="1" applyFill="1" applyBorder="1" applyAlignment="1">
      <alignment horizontal="center"/>
    </xf>
    <xf numFmtId="0" fontId="12" fillId="0" borderId="8" xfId="0" applyFont="1" applyBorder="1" applyAlignment="1">
      <alignment horizontal="center"/>
    </xf>
    <xf numFmtId="0" fontId="72" fillId="0" borderId="0" xfId="3" applyFont="1"/>
    <xf numFmtId="0" fontId="77" fillId="0" borderId="0" xfId="3" applyFont="1"/>
    <xf numFmtId="0" fontId="77" fillId="0" borderId="0" xfId="3"/>
    <xf numFmtId="1" fontId="14" fillId="5" borderId="11" xfId="0" applyNumberFormat="1" applyFont="1" applyFill="1" applyBorder="1" applyAlignment="1">
      <alignment horizontal="center"/>
    </xf>
    <xf numFmtId="170" fontId="14" fillId="5" borderId="29" xfId="0" applyNumberFormat="1" applyFont="1" applyFill="1" applyBorder="1" applyAlignment="1">
      <alignment horizontal="center"/>
    </xf>
    <xf numFmtId="170" fontId="14" fillId="5" borderId="30" xfId="0" applyNumberFormat="1" applyFont="1" applyFill="1" applyBorder="1" applyAlignment="1">
      <alignment horizontal="center"/>
    </xf>
    <xf numFmtId="170" fontId="14" fillId="5" borderId="4" xfId="0" applyNumberFormat="1" applyFont="1" applyFill="1" applyBorder="1" applyAlignment="1">
      <alignment horizontal="center"/>
    </xf>
    <xf numFmtId="170" fontId="14" fillId="5" borderId="11" xfId="0" applyNumberFormat="1" applyFont="1" applyFill="1" applyBorder="1" applyAlignment="1">
      <alignment horizontal="center"/>
    </xf>
    <xf numFmtId="167" fontId="14" fillId="5" borderId="11" xfId="0" applyNumberFormat="1" applyFont="1" applyFill="1" applyBorder="1" applyAlignment="1">
      <alignment horizontal="center"/>
    </xf>
    <xf numFmtId="167" fontId="14" fillId="5" borderId="11" xfId="0" applyNumberFormat="1" applyFont="1" applyFill="1" applyBorder="1" applyAlignment="1" applyProtection="1">
      <alignment horizontal="center"/>
    </xf>
    <xf numFmtId="167" fontId="14" fillId="5" borderId="30" xfId="0" applyNumberFormat="1" applyFont="1" applyFill="1" applyBorder="1" applyAlignment="1">
      <alignment horizontal="center"/>
    </xf>
    <xf numFmtId="170" fontId="14" fillId="5" borderId="27" xfId="0" applyNumberFormat="1" applyFont="1" applyFill="1" applyBorder="1" applyAlignment="1">
      <alignment horizontal="center"/>
    </xf>
    <xf numFmtId="170" fontId="14" fillId="5" borderId="10" xfId="0" applyNumberFormat="1" applyFont="1" applyFill="1" applyBorder="1" applyAlignment="1">
      <alignment horizontal="center"/>
    </xf>
    <xf numFmtId="170" fontId="14" fillId="5" borderId="12" xfId="0" applyNumberFormat="1" applyFont="1" applyFill="1" applyBorder="1" applyAlignment="1">
      <alignment horizontal="center"/>
    </xf>
    <xf numFmtId="170" fontId="14" fillId="5" borderId="13" xfId="0" applyNumberFormat="1" applyFont="1" applyFill="1" applyBorder="1" applyAlignment="1">
      <alignment horizontal="center"/>
    </xf>
    <xf numFmtId="0" fontId="78" fillId="0" borderId="0" xfId="3" applyFont="1"/>
    <xf numFmtId="165" fontId="57" fillId="0" borderId="0" xfId="3" applyNumberFormat="1" applyFont="1"/>
    <xf numFmtId="0" fontId="40" fillId="12" borderId="27" xfId="0" applyFont="1" applyFill="1" applyBorder="1" applyAlignment="1">
      <alignment horizontal="left" vertical="center"/>
    </xf>
    <xf numFmtId="0" fontId="12" fillId="12" borderId="2" xfId="0" applyFont="1" applyFill="1" applyBorder="1" applyAlignment="1">
      <alignment horizontal="center" vertical="center"/>
    </xf>
    <xf numFmtId="0" fontId="45" fillId="12" borderId="2" xfId="0" applyFont="1" applyFill="1" applyBorder="1" applyAlignment="1">
      <alignment horizontal="center" vertical="center"/>
    </xf>
    <xf numFmtId="0" fontId="45" fillId="12" borderId="28" xfId="0" applyFont="1" applyFill="1" applyBorder="1" applyAlignment="1">
      <alignment horizontal="center" vertical="center"/>
    </xf>
    <xf numFmtId="0" fontId="40" fillId="12" borderId="27" xfId="0" applyFont="1" applyFill="1" applyBorder="1" applyAlignment="1">
      <alignment horizontal="left"/>
    </xf>
    <xf numFmtId="0" fontId="15" fillId="12" borderId="2" xfId="0" applyFont="1" applyFill="1" applyBorder="1" applyAlignment="1">
      <alignment horizontal="center"/>
    </xf>
    <xf numFmtId="0" fontId="45" fillId="12" borderId="2" xfId="0" applyFont="1" applyFill="1" applyBorder="1" applyAlignment="1">
      <alignment horizontal="center"/>
    </xf>
    <xf numFmtId="0" fontId="45" fillId="12" borderId="28" xfId="0" applyFont="1" applyFill="1" applyBorder="1" applyAlignment="1">
      <alignment horizontal="center"/>
    </xf>
    <xf numFmtId="2" fontId="46" fillId="6" borderId="4" xfId="0" applyNumberFormat="1" applyFont="1" applyFill="1" applyBorder="1" applyAlignment="1">
      <alignment horizontal="center"/>
    </xf>
    <xf numFmtId="0" fontId="46" fillId="6" borderId="0" xfId="0" applyFont="1" applyFill="1" applyBorder="1" applyAlignment="1"/>
    <xf numFmtId="0" fontId="69" fillId="6" borderId="0" xfId="0" applyFont="1" applyFill="1" applyBorder="1" applyAlignment="1">
      <alignment horizontal="center"/>
    </xf>
    <xf numFmtId="0" fontId="41" fillId="6" borderId="0" xfId="0" applyFont="1" applyFill="1" applyBorder="1" applyAlignment="1">
      <alignment horizontal="center"/>
    </xf>
    <xf numFmtId="2" fontId="39" fillId="6" borderId="0" xfId="0" applyNumberFormat="1" applyFont="1" applyFill="1" applyBorder="1" applyAlignment="1"/>
    <xf numFmtId="167" fontId="15" fillId="6" borderId="11" xfId="0" applyNumberFormat="1" applyFont="1" applyFill="1" applyBorder="1" applyAlignment="1">
      <alignment horizontal="center"/>
    </xf>
    <xf numFmtId="0" fontId="46" fillId="6" borderId="4" xfId="0" applyFont="1" applyFill="1" applyBorder="1" applyAlignment="1">
      <alignment horizontal="center"/>
    </xf>
    <xf numFmtId="0" fontId="46" fillId="6" borderId="0" xfId="0" applyFont="1" applyFill="1" applyBorder="1" applyAlignment="1">
      <alignment horizontal="center"/>
    </xf>
    <xf numFmtId="0" fontId="12" fillId="6" borderId="0" xfId="0" applyFont="1" applyFill="1" applyBorder="1" applyAlignment="1">
      <alignment horizontal="right"/>
    </xf>
    <xf numFmtId="0" fontId="15" fillId="6" borderId="29" xfId="0" applyFont="1" applyFill="1" applyBorder="1" applyAlignment="1">
      <alignment horizontal="center"/>
    </xf>
    <xf numFmtId="0" fontId="1" fillId="6" borderId="1" xfId="0" applyFont="1" applyFill="1" applyBorder="1" applyAlignment="1"/>
    <xf numFmtId="0" fontId="46" fillId="6" borderId="1" xfId="0" applyFont="1" applyFill="1" applyBorder="1" applyAlignment="1">
      <alignment horizontal="center"/>
    </xf>
    <xf numFmtId="0" fontId="41" fillId="6" borderId="1" xfId="0" applyFont="1" applyFill="1" applyBorder="1" applyAlignment="1">
      <alignment horizontal="center"/>
    </xf>
    <xf numFmtId="0" fontId="15" fillId="6" borderId="1" xfId="0" applyFont="1" applyFill="1" applyBorder="1" applyAlignment="1">
      <alignment horizontal="center"/>
    </xf>
    <xf numFmtId="0" fontId="15" fillId="6" borderId="30" xfId="0" applyFont="1" applyFill="1" applyBorder="1" applyAlignment="1">
      <alignment horizontal="center"/>
    </xf>
    <xf numFmtId="0" fontId="40" fillId="12" borderId="34" xfId="0" applyFont="1" applyFill="1" applyBorder="1" applyAlignment="1">
      <alignment horizontal="left" vertical="center"/>
    </xf>
    <xf numFmtId="2" fontId="15" fillId="12" borderId="15" xfId="0" applyNumberFormat="1" applyFont="1" applyFill="1" applyBorder="1" applyAlignment="1">
      <alignment horizontal="center"/>
    </xf>
    <xf numFmtId="2" fontId="15" fillId="12" borderId="16" xfId="0" applyNumberFormat="1" applyFont="1" applyFill="1" applyBorder="1" applyAlignment="1">
      <alignment horizontal="center"/>
    </xf>
    <xf numFmtId="165" fontId="57" fillId="6" borderId="27" xfId="3" applyNumberFormat="1" applyFont="1" applyFill="1" applyBorder="1"/>
    <xf numFmtId="0" fontId="77" fillId="6" borderId="2" xfId="3" applyFont="1" applyFill="1" applyBorder="1" applyAlignment="1">
      <alignment horizontal="left"/>
    </xf>
    <xf numFmtId="2" fontId="15" fillId="6" borderId="2" xfId="0" applyNumberFormat="1" applyFont="1" applyFill="1" applyBorder="1" applyAlignment="1">
      <alignment horizontal="center"/>
    </xf>
    <xf numFmtId="2" fontId="15" fillId="6" borderId="28" xfId="0" applyNumberFormat="1" applyFont="1" applyFill="1" applyBorder="1" applyAlignment="1">
      <alignment horizontal="center"/>
    </xf>
    <xf numFmtId="165" fontId="57" fillId="6" borderId="4" xfId="3" applyNumberFormat="1" applyFont="1" applyFill="1" applyBorder="1"/>
    <xf numFmtId="0" fontId="77" fillId="6" borderId="0" xfId="3" applyFont="1" applyFill="1" applyBorder="1"/>
    <xf numFmtId="2" fontId="15" fillId="6" borderId="0" xfId="0" applyNumberFormat="1" applyFont="1" applyFill="1" applyBorder="1" applyAlignment="1">
      <alignment horizontal="center"/>
    </xf>
    <xf numFmtId="2" fontId="15" fillId="6" borderId="11" xfId="0" applyNumberFormat="1" applyFont="1" applyFill="1" applyBorder="1" applyAlignment="1">
      <alignment horizontal="center"/>
    </xf>
    <xf numFmtId="165" fontId="57" fillId="6" borderId="29" xfId="3" applyNumberFormat="1" applyFont="1" applyFill="1" applyBorder="1"/>
    <xf numFmtId="0" fontId="77" fillId="6" borderId="1" xfId="3" applyFont="1" applyFill="1" applyBorder="1"/>
    <xf numFmtId="2" fontId="15" fillId="6" borderId="1" xfId="0" applyNumberFormat="1" applyFont="1" applyFill="1" applyBorder="1" applyAlignment="1">
      <alignment horizontal="center"/>
    </xf>
    <xf numFmtId="2" fontId="15" fillId="6" borderId="30" xfId="0" applyNumberFormat="1" applyFont="1" applyFill="1" applyBorder="1" applyAlignment="1">
      <alignment horizontal="center"/>
    </xf>
    <xf numFmtId="2" fontId="15" fillId="12" borderId="2" xfId="0" applyNumberFormat="1" applyFont="1" applyFill="1" applyBorder="1" applyAlignment="1">
      <alignment horizontal="center"/>
    </xf>
    <xf numFmtId="2" fontId="15" fillId="12" borderId="28" xfId="0" applyNumberFormat="1" applyFont="1" applyFill="1" applyBorder="1" applyAlignment="1">
      <alignment horizontal="center"/>
    </xf>
    <xf numFmtId="0" fontId="72" fillId="0" borderId="0" xfId="3" applyFont="1" applyAlignment="1">
      <alignment horizontal="center"/>
    </xf>
    <xf numFmtId="165" fontId="78" fillId="4" borderId="27" xfId="3" applyNumberFormat="1" applyFont="1" applyFill="1" applyBorder="1" applyAlignment="1">
      <alignment horizontal="center"/>
    </xf>
    <xf numFmtId="165" fontId="78" fillId="4" borderId="31" xfId="3" applyNumberFormat="1" applyFont="1" applyFill="1" applyBorder="1" applyAlignment="1">
      <alignment horizontal="center"/>
    </xf>
    <xf numFmtId="165" fontId="78" fillId="4" borderId="28" xfId="3" applyNumberFormat="1" applyFont="1" applyFill="1" applyBorder="1" applyAlignment="1">
      <alignment horizontal="center"/>
    </xf>
    <xf numFmtId="165" fontId="78" fillId="4" borderId="4" xfId="3" applyNumberFormat="1" applyFont="1" applyFill="1" applyBorder="1" applyAlignment="1">
      <alignment horizontal="center"/>
    </xf>
    <xf numFmtId="165" fontId="78" fillId="4" borderId="3" xfId="3" applyNumberFormat="1" applyFont="1" applyFill="1" applyBorder="1" applyAlignment="1">
      <alignment horizontal="center"/>
    </xf>
    <xf numFmtId="165" fontId="78" fillId="4" borderId="11" xfId="3" applyNumberFormat="1" applyFont="1" applyFill="1" applyBorder="1" applyAlignment="1">
      <alignment horizontal="center"/>
    </xf>
    <xf numFmtId="165" fontId="78" fillId="4" borderId="29" xfId="3" applyNumberFormat="1" applyFont="1" applyFill="1" applyBorder="1" applyAlignment="1">
      <alignment horizontal="center"/>
    </xf>
    <xf numFmtId="165" fontId="78" fillId="4" borderId="32" xfId="3" applyNumberFormat="1" applyFont="1" applyFill="1" applyBorder="1" applyAlignment="1">
      <alignment horizontal="center"/>
    </xf>
    <xf numFmtId="165" fontId="78" fillId="4" borderId="30" xfId="3" applyNumberFormat="1" applyFont="1" applyFill="1" applyBorder="1" applyAlignment="1">
      <alignment horizontal="center"/>
    </xf>
    <xf numFmtId="0" fontId="12" fillId="0" borderId="0" xfId="0" applyFont="1" applyAlignment="1">
      <alignment horizontal="left"/>
    </xf>
    <xf numFmtId="170" fontId="79" fillId="5" borderId="3" xfId="0" applyNumberFormat="1" applyFont="1" applyFill="1" applyBorder="1" applyAlignment="1">
      <alignment horizontal="center"/>
    </xf>
    <xf numFmtId="170" fontId="79" fillId="5" borderId="32" xfId="0" applyNumberFormat="1" applyFont="1" applyFill="1" applyBorder="1" applyAlignment="1">
      <alignment horizontal="center"/>
    </xf>
    <xf numFmtId="170" fontId="79" fillId="5" borderId="13" xfId="0" applyNumberFormat="1" applyFont="1" applyFill="1" applyBorder="1" applyAlignment="1">
      <alignment horizontal="center"/>
    </xf>
    <xf numFmtId="1" fontId="23" fillId="0" borderId="1" xfId="0" applyNumberFormat="1" applyFont="1" applyBorder="1" applyAlignment="1"/>
    <xf numFmtId="0" fontId="18" fillId="0" borderId="0" xfId="0" applyNumberFormat="1" applyFont="1" applyAlignment="1">
      <alignment horizontal="center"/>
    </xf>
    <xf numFmtId="0" fontId="71" fillId="0" borderId="0" xfId="0" applyNumberFormat="1" applyFont="1"/>
    <xf numFmtId="168" fontId="18" fillId="0" borderId="0" xfId="0" applyNumberFormat="1" applyFont="1" applyAlignment="1">
      <alignment horizontal="center"/>
    </xf>
    <xf numFmtId="168" fontId="11" fillId="0" borderId="0" xfId="0" applyNumberFormat="1" applyFont="1" applyAlignment="1">
      <alignment horizontal="center"/>
    </xf>
    <xf numFmtId="168" fontId="71" fillId="0" borderId="0" xfId="0" applyNumberFormat="1" applyFont="1"/>
    <xf numFmtId="168" fontId="6" fillId="0" borderId="0" xfId="0" applyNumberFormat="1" applyFont="1" applyAlignment="1">
      <alignment horizontal="center"/>
    </xf>
    <xf numFmtId="0" fontId="12" fillId="0" borderId="0" xfId="0" applyFont="1" applyFill="1"/>
    <xf numFmtId="165" fontId="46" fillId="6" borderId="4" xfId="0" applyNumberFormat="1" applyFont="1" applyFill="1" applyBorder="1" applyAlignment="1">
      <alignment horizontal="center"/>
    </xf>
    <xf numFmtId="176" fontId="15" fillId="6" borderId="11" xfId="0" applyNumberFormat="1" applyFont="1" applyFill="1" applyBorder="1" applyAlignment="1">
      <alignment horizontal="center"/>
    </xf>
    <xf numFmtId="0" fontId="80" fillId="0" borderId="0" xfId="0" applyFont="1" applyBorder="1" applyAlignment="1">
      <alignment horizontal="right"/>
    </xf>
    <xf numFmtId="0" fontId="81" fillId="0" borderId="0" xfId="0" applyFont="1" applyFill="1" applyAlignment="1">
      <alignment horizontal="center"/>
    </xf>
    <xf numFmtId="171" fontId="7" fillId="0" borderId="0" xfId="0" applyNumberFormat="1" applyFont="1" applyFill="1"/>
    <xf numFmtId="0" fontId="6" fillId="0" borderId="0" xfId="0" applyNumberFormat="1" applyFont="1"/>
    <xf numFmtId="0" fontId="91" fillId="0" borderId="0" xfId="0" applyFont="1" applyFill="1" applyAlignment="1">
      <alignment horizontal="center"/>
    </xf>
    <xf numFmtId="164" fontId="92" fillId="0" borderId="0" xfId="0" applyNumberFormat="1" applyFont="1" applyFill="1" applyAlignment="1">
      <alignment horizontal="center"/>
    </xf>
    <xf numFmtId="164" fontId="92" fillId="0" borderId="0" xfId="0" applyNumberFormat="1" applyFont="1"/>
    <xf numFmtId="0" fontId="92" fillId="0" borderId="0" xfId="0" applyFont="1"/>
    <xf numFmtId="0" fontId="15" fillId="5" borderId="32" xfId="0" applyFont="1" applyFill="1" applyBorder="1" applyAlignment="1">
      <alignment horizontal="center"/>
    </xf>
    <xf numFmtId="167" fontId="48" fillId="5" borderId="34" xfId="0" applyNumberFormat="1" applyFont="1" applyFill="1" applyBorder="1" applyAlignment="1">
      <alignment horizontal="center"/>
    </xf>
    <xf numFmtId="167" fontId="14" fillId="5" borderId="27" xfId="0" applyNumberFormat="1" applyFont="1" applyFill="1" applyBorder="1" applyAlignment="1">
      <alignment horizontal="center"/>
    </xf>
    <xf numFmtId="167" fontId="14" fillId="5" borderId="10" xfId="0" applyNumberFormat="1" applyFont="1" applyFill="1" applyBorder="1" applyAlignment="1">
      <alignment horizontal="center"/>
    </xf>
    <xf numFmtId="167" fontId="14" fillId="5" borderId="12" xfId="0" applyNumberFormat="1" applyFont="1" applyFill="1" applyBorder="1" applyAlignment="1">
      <alignment horizontal="center"/>
    </xf>
    <xf numFmtId="0" fontId="10" fillId="0" borderId="0" xfId="0" applyFont="1" applyFill="1"/>
    <xf numFmtId="0" fontId="93" fillId="0" borderId="0" xfId="0" applyFont="1" applyFill="1" applyAlignment="1">
      <alignment horizontal="center"/>
    </xf>
    <xf numFmtId="164" fontId="93" fillId="0" borderId="0" xfId="0" applyNumberFormat="1" applyFont="1"/>
    <xf numFmtId="0" fontId="93" fillId="0" borderId="0" xfId="0" applyFont="1"/>
    <xf numFmtId="10" fontId="6" fillId="0" borderId="0" xfId="0" applyNumberFormat="1" applyFont="1" applyFill="1" applyAlignment="1">
      <alignment horizontal="center"/>
    </xf>
    <xf numFmtId="0" fontId="0" fillId="13" borderId="0" xfId="0" applyFill="1"/>
    <xf numFmtId="169" fontId="85" fillId="0" borderId="0" xfId="0" applyNumberFormat="1" applyFont="1"/>
    <xf numFmtId="169" fontId="7" fillId="0" borderId="0" xfId="0" applyNumberFormat="1" applyFont="1"/>
    <xf numFmtId="0" fontId="6" fillId="13" borderId="0" xfId="0" applyFont="1" applyFill="1" applyAlignment="1">
      <alignment horizontal="center" vertical="center"/>
    </xf>
    <xf numFmtId="10" fontId="6" fillId="0" borderId="0" xfId="0" applyNumberFormat="1" applyFont="1" applyFill="1"/>
    <xf numFmtId="0" fontId="21" fillId="7" borderId="35" xfId="0" applyFont="1" applyFill="1" applyBorder="1" applyAlignment="1">
      <alignment horizontal="center" vertical="center"/>
    </xf>
    <xf numFmtId="0" fontId="86" fillId="7" borderId="2" xfId="0" applyFont="1" applyFill="1" applyBorder="1" applyAlignment="1"/>
    <xf numFmtId="170" fontId="87" fillId="5" borderId="36" xfId="0" applyNumberFormat="1" applyFont="1" applyFill="1" applyBorder="1" applyAlignment="1">
      <alignment horizontal="center"/>
    </xf>
    <xf numFmtId="0" fontId="21" fillId="7" borderId="37" xfId="0" applyFont="1" applyFill="1" applyBorder="1" applyAlignment="1">
      <alignment horizontal="center" vertical="center"/>
    </xf>
    <xf numFmtId="0" fontId="86" fillId="7" borderId="1" xfId="0" applyFont="1" applyFill="1" applyBorder="1" applyAlignment="1"/>
    <xf numFmtId="165" fontId="87" fillId="5" borderId="38" xfId="0" applyNumberFormat="1" applyFont="1" applyFill="1" applyBorder="1" applyAlignment="1">
      <alignment horizontal="center"/>
    </xf>
    <xf numFmtId="0" fontId="86" fillId="7" borderId="0" xfId="0" applyFont="1" applyFill="1" applyBorder="1" applyAlignment="1"/>
    <xf numFmtId="170" fontId="87" fillId="5" borderId="39" xfId="0" applyNumberFormat="1" applyFont="1" applyFill="1" applyBorder="1" applyAlignment="1">
      <alignment horizontal="center"/>
    </xf>
    <xf numFmtId="0" fontId="87" fillId="0" borderId="5" xfId="0" applyFont="1" applyBorder="1" applyAlignment="1">
      <alignment horizontal="center"/>
    </xf>
    <xf numFmtId="0" fontId="87" fillId="0" borderId="0" xfId="0" applyFont="1" applyBorder="1" applyAlignment="1">
      <alignment horizontal="center"/>
    </xf>
    <xf numFmtId="0" fontId="87" fillId="0" borderId="6" xfId="0" applyFont="1" applyBorder="1" applyAlignment="1">
      <alignment horizontal="center"/>
    </xf>
    <xf numFmtId="0" fontId="90" fillId="7" borderId="35" xfId="0" applyFont="1" applyFill="1" applyBorder="1" applyAlignment="1">
      <alignment horizontal="center" vertical="center" shrinkToFit="1"/>
    </xf>
    <xf numFmtId="170" fontId="87" fillId="12" borderId="36" xfId="0" applyNumberFormat="1" applyFont="1" applyFill="1" applyBorder="1" applyAlignment="1">
      <alignment horizontal="center"/>
    </xf>
    <xf numFmtId="0" fontId="90" fillId="7" borderId="37" xfId="0" applyFont="1" applyFill="1" applyBorder="1" applyAlignment="1">
      <alignment horizontal="center" vertical="center" shrinkToFit="1"/>
    </xf>
    <xf numFmtId="165" fontId="87" fillId="12" borderId="38" xfId="0" applyNumberFormat="1" applyFont="1" applyFill="1" applyBorder="1" applyAlignment="1">
      <alignment horizontal="center"/>
    </xf>
    <xf numFmtId="170" fontId="87" fillId="12" borderId="39" xfId="0" applyNumberFormat="1" applyFont="1" applyFill="1" applyBorder="1" applyAlignment="1">
      <alignment horizontal="center"/>
    </xf>
    <xf numFmtId="0" fontId="90" fillId="7" borderId="7" xfId="0" applyFont="1" applyFill="1" applyBorder="1" applyAlignment="1">
      <alignment horizontal="center" vertical="center" shrinkToFit="1"/>
    </xf>
    <xf numFmtId="0" fontId="86" fillId="7" borderId="8" xfId="0" applyFont="1" applyFill="1" applyBorder="1" applyAlignment="1"/>
    <xf numFmtId="165" fontId="87" fillId="12" borderId="40" xfId="0" applyNumberFormat="1" applyFont="1" applyFill="1" applyBorder="1" applyAlignment="1">
      <alignment horizontal="center"/>
    </xf>
    <xf numFmtId="0" fontId="88" fillId="0" borderId="0" xfId="0" applyFont="1" applyAlignment="1">
      <alignment horizontal="right"/>
    </xf>
    <xf numFmtId="170" fontId="87" fillId="6" borderId="33" xfId="0" applyNumberFormat="1" applyFont="1" applyFill="1" applyBorder="1" applyAlignment="1">
      <alignment horizontal="center"/>
    </xf>
    <xf numFmtId="0" fontId="87" fillId="0" borderId="0" xfId="0" applyFont="1" applyAlignment="1">
      <alignment horizontal="left"/>
    </xf>
    <xf numFmtId="0" fontId="21" fillId="0" borderId="17" xfId="0" applyFont="1" applyBorder="1" applyAlignment="1"/>
    <xf numFmtId="0" fontId="21" fillId="0" borderId="18" xfId="0" applyFont="1" applyBorder="1" applyAlignment="1"/>
    <xf numFmtId="0" fontId="21" fillId="0" borderId="19" xfId="0" applyFont="1" applyBorder="1" applyAlignment="1"/>
    <xf numFmtId="0" fontId="86" fillId="0" borderId="37" xfId="0" applyFont="1" applyBorder="1" applyAlignment="1"/>
    <xf numFmtId="0" fontId="86" fillId="0" borderId="1" xfId="0" applyFont="1" applyBorder="1" applyAlignment="1"/>
    <xf numFmtId="0" fontId="86" fillId="0" borderId="41" xfId="0" applyFont="1" applyBorder="1" applyAlignment="1"/>
    <xf numFmtId="0" fontId="21" fillId="0" borderId="0" xfId="0" applyFont="1" applyAlignment="1"/>
    <xf numFmtId="0" fontId="12" fillId="4" borderId="35" xfId="0" applyFont="1" applyFill="1" applyBorder="1" applyAlignment="1">
      <alignment horizontal="center"/>
    </xf>
    <xf numFmtId="11" fontId="39" fillId="4" borderId="5" xfId="0" applyNumberFormat="1" applyFont="1" applyFill="1" applyBorder="1" applyAlignment="1">
      <alignment horizontal="center"/>
    </xf>
    <xf numFmtId="11" fontId="12" fillId="4" borderId="5" xfId="0" applyNumberFormat="1" applyFont="1" applyFill="1" applyBorder="1" applyAlignment="1">
      <alignment horizontal="center"/>
    </xf>
    <xf numFmtId="0" fontId="12" fillId="4" borderId="5" xfId="0" applyFont="1" applyFill="1" applyBorder="1" applyAlignment="1">
      <alignment horizontal="center"/>
    </xf>
    <xf numFmtId="2" fontId="15" fillId="6" borderId="4" xfId="0" applyNumberFormat="1" applyFont="1" applyFill="1" applyBorder="1" applyAlignment="1">
      <alignment horizontal="center"/>
    </xf>
    <xf numFmtId="178" fontId="15" fillId="6" borderId="30" xfId="0" applyNumberFormat="1" applyFont="1" applyFill="1" applyBorder="1" applyAlignment="1">
      <alignment horizontal="center"/>
    </xf>
    <xf numFmtId="2" fontId="15" fillId="6" borderId="32" xfId="0" applyNumberFormat="1" applyFont="1" applyFill="1" applyBorder="1" applyAlignment="1">
      <alignment horizontal="center"/>
    </xf>
    <xf numFmtId="0" fontId="41" fillId="0" borderId="2" xfId="0" applyFont="1" applyBorder="1" applyAlignment="1">
      <alignment vertical="center"/>
    </xf>
    <xf numFmtId="2" fontId="15" fillId="0" borderId="4" xfId="0" applyNumberFormat="1" applyFont="1" applyFill="1" applyBorder="1" applyAlignment="1">
      <alignment horizontal="center"/>
    </xf>
    <xf numFmtId="0" fontId="12" fillId="0" borderId="8" xfId="0" applyFont="1" applyBorder="1" applyAlignment="1">
      <alignment horizontal="right"/>
    </xf>
    <xf numFmtId="0" fontId="15" fillId="6" borderId="33" xfId="0" applyFont="1" applyFill="1" applyBorder="1" applyAlignment="1">
      <alignment horizontal="center"/>
    </xf>
    <xf numFmtId="0" fontId="41" fillId="0" borderId="42" xfId="0" applyFont="1" applyBorder="1" applyAlignment="1">
      <alignment vertical="center"/>
    </xf>
    <xf numFmtId="164" fontId="6" fillId="0" borderId="0" xfId="0" applyNumberFormat="1" applyFont="1" applyFill="1" applyAlignment="1">
      <alignment horizontal="left"/>
    </xf>
    <xf numFmtId="0" fontId="7" fillId="14" borderId="0" xfId="0" applyFont="1" applyFill="1"/>
    <xf numFmtId="2" fontId="7" fillId="14" borderId="0" xfId="0" applyNumberFormat="1" applyFont="1" applyFill="1"/>
    <xf numFmtId="0" fontId="16" fillId="0" borderId="5" xfId="0" applyFont="1" applyBorder="1" applyAlignment="1"/>
    <xf numFmtId="0" fontId="16" fillId="0" borderId="0" xfId="0" applyFont="1" applyBorder="1" applyAlignment="1"/>
    <xf numFmtId="0" fontId="16" fillId="0" borderId="6" xfId="0" applyFont="1" applyBorder="1" applyAlignment="1"/>
    <xf numFmtId="0" fontId="6" fillId="0" borderId="0" xfId="0" applyFont="1" applyBorder="1" applyAlignment="1">
      <alignment horizontal="right"/>
    </xf>
    <xf numFmtId="182" fontId="12" fillId="6" borderId="27" xfId="0" applyNumberFormat="1" applyFont="1" applyFill="1" applyBorder="1" applyAlignment="1">
      <alignment horizontal="center"/>
    </xf>
    <xf numFmtId="0" fontId="16" fillId="0" borderId="5" xfId="0" applyFont="1" applyBorder="1" applyAlignment="1">
      <alignment horizontal="center"/>
    </xf>
    <xf numFmtId="0" fontId="16" fillId="0" borderId="0" xfId="0" applyFont="1" applyBorder="1" applyAlignment="1">
      <alignment horizontal="center"/>
    </xf>
    <xf numFmtId="0" fontId="16" fillId="0" borderId="6" xfId="0" applyFont="1" applyBorder="1" applyAlignment="1">
      <alignment horizontal="center"/>
    </xf>
    <xf numFmtId="0" fontId="39" fillId="0" borderId="5" xfId="0" applyFont="1" applyFill="1" applyBorder="1" applyAlignment="1">
      <alignment horizontal="center"/>
    </xf>
    <xf numFmtId="0" fontId="39" fillId="0" borderId="0" xfId="0" applyFont="1" applyFill="1" applyBorder="1" applyAlignment="1">
      <alignment horizontal="center"/>
    </xf>
    <xf numFmtId="181" fontId="16" fillId="10" borderId="0" xfId="5" applyNumberFormat="1" applyFont="1" applyFill="1" applyBorder="1" applyAlignment="1">
      <alignment horizontal="center"/>
    </xf>
    <xf numFmtId="181" fontId="11" fillId="10" borderId="1" xfId="5" applyNumberFormat="1" applyFont="1" applyFill="1" applyBorder="1" applyAlignment="1">
      <alignment horizontal="center"/>
    </xf>
    <xf numFmtId="169" fontId="16" fillId="10" borderId="0" xfId="5" applyNumberFormat="1" applyFont="1" applyFill="1" applyBorder="1" applyAlignment="1">
      <alignment horizontal="center"/>
    </xf>
    <xf numFmtId="169" fontId="16" fillId="10" borderId="1" xfId="5" applyNumberFormat="1" applyFont="1" applyFill="1" applyBorder="1" applyAlignment="1">
      <alignment horizontal="center"/>
    </xf>
    <xf numFmtId="0" fontId="40" fillId="0" borderId="2" xfId="0" applyFont="1" applyFill="1" applyBorder="1" applyAlignment="1">
      <alignment horizontal="center" vertical="center"/>
    </xf>
    <xf numFmtId="169" fontId="6" fillId="10" borderId="0" xfId="5" applyNumberFormat="1" applyFont="1" applyFill="1" applyBorder="1" applyAlignment="1">
      <alignment horizontal="center"/>
    </xf>
    <xf numFmtId="169" fontId="6" fillId="10" borderId="1" xfId="5" applyNumberFormat="1" applyFont="1" applyFill="1" applyBorder="1" applyAlignment="1">
      <alignment horizontal="center"/>
    </xf>
    <xf numFmtId="0" fontId="6" fillId="0" borderId="0" xfId="0" applyFont="1" applyBorder="1" applyAlignment="1">
      <alignment horizontal="center"/>
    </xf>
    <xf numFmtId="0" fontId="12" fillId="0" borderId="5" xfId="0" applyFont="1" applyBorder="1" applyAlignment="1">
      <alignment horizontal="center"/>
    </xf>
    <xf numFmtId="0" fontId="12" fillId="0" borderId="0" xfId="0" applyFont="1" applyBorder="1" applyAlignment="1">
      <alignment horizontal="center"/>
    </xf>
    <xf numFmtId="0" fontId="40" fillId="7" borderId="35" xfId="0" applyFont="1" applyFill="1" applyBorder="1" applyAlignment="1">
      <alignment horizontal="center"/>
    </xf>
    <xf numFmtId="0" fontId="40" fillId="7" borderId="2" xfId="0" applyFont="1" applyFill="1" applyBorder="1" applyAlignment="1">
      <alignment horizontal="center"/>
    </xf>
    <xf numFmtId="0" fontId="40" fillId="7" borderId="37" xfId="0" applyFont="1" applyFill="1" applyBorder="1" applyAlignment="1">
      <alignment horizontal="center"/>
    </xf>
    <xf numFmtId="0" fontId="40" fillId="7" borderId="1" xfId="0" applyFont="1" applyFill="1" applyBorder="1" applyAlignment="1">
      <alignment horizontal="center"/>
    </xf>
    <xf numFmtId="0" fontId="40" fillId="7" borderId="7" xfId="0" applyFont="1" applyFill="1" applyBorder="1" applyAlignment="1">
      <alignment horizontal="center"/>
    </xf>
    <xf numFmtId="0" fontId="40" fillId="7" borderId="8" xfId="0" applyFont="1" applyFill="1" applyBorder="1" applyAlignment="1">
      <alignment horizontal="center"/>
    </xf>
    <xf numFmtId="0" fontId="12" fillId="7" borderId="0" xfId="0" applyFont="1" applyFill="1" applyBorder="1" applyAlignment="1">
      <alignment horizontal="center"/>
    </xf>
    <xf numFmtId="0" fontId="6" fillId="5" borderId="34" xfId="0" applyFont="1" applyFill="1" applyBorder="1" applyAlignment="1">
      <alignment horizontal="center"/>
    </xf>
    <xf numFmtId="0" fontId="6" fillId="5" borderId="15" xfId="0" applyFont="1" applyFill="1" applyBorder="1" applyAlignment="1">
      <alignment horizontal="center"/>
    </xf>
    <xf numFmtId="0" fontId="6" fillId="5" borderId="16" xfId="0" applyFont="1" applyFill="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6" fillId="0" borderId="0" xfId="0" applyFont="1" applyBorder="1" applyAlignment="1">
      <alignment horizontal="center" vertical="center"/>
    </xf>
    <xf numFmtId="0" fontId="68" fillId="0" borderId="1" xfId="0" applyFont="1" applyBorder="1" applyAlignment="1">
      <alignment horizontal="center" vertical="center"/>
    </xf>
    <xf numFmtId="0" fontId="6" fillId="5" borderId="21" xfId="0" applyFont="1" applyFill="1" applyBorder="1" applyAlignment="1">
      <alignment horizontal="center"/>
    </xf>
    <xf numFmtId="0" fontId="6" fillId="5" borderId="18" xfId="0" applyFont="1" applyFill="1" applyBorder="1" applyAlignment="1">
      <alignment horizontal="center"/>
    </xf>
    <xf numFmtId="0" fontId="6" fillId="5" borderId="22" xfId="0" applyFont="1" applyFill="1" applyBorder="1" applyAlignment="1">
      <alignment horizontal="center"/>
    </xf>
    <xf numFmtId="181" fontId="45" fillId="10" borderId="0" xfId="0" applyNumberFormat="1" applyFont="1" applyFill="1" applyAlignment="1">
      <alignment horizontal="center"/>
    </xf>
    <xf numFmtId="0" fontId="41" fillId="0" borderId="5" xfId="0" applyFont="1" applyFill="1" applyBorder="1" applyAlignment="1">
      <alignment horizontal="center"/>
    </xf>
    <xf numFmtId="0" fontId="41" fillId="0" borderId="0" xfId="0" applyFont="1" applyFill="1" applyBorder="1" applyAlignment="1">
      <alignment horizontal="center"/>
    </xf>
    <xf numFmtId="1" fontId="23" fillId="0" borderId="1" xfId="0" applyNumberFormat="1" applyFont="1" applyBorder="1" applyAlignment="1">
      <alignment horizontal="center"/>
    </xf>
    <xf numFmtId="171" fontId="23" fillId="0" borderId="1" xfId="0" applyNumberFormat="1" applyFont="1" applyBorder="1" applyAlignment="1">
      <alignment horizontal="center"/>
    </xf>
    <xf numFmtId="0" fontId="83" fillId="13" borderId="0" xfId="0" applyFont="1" applyFill="1" applyAlignment="1">
      <alignment horizontal="center" vertical="center" textRotation="90" wrapText="1"/>
    </xf>
    <xf numFmtId="0" fontId="6" fillId="0" borderId="17"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cellXfs>
  <cellStyles count="6">
    <cellStyle name="Normal" xfId="0" builtinId="0"/>
    <cellStyle name="Normal_AllPbIC FC-Blank Correction" xfId="1" xr:uid="{00000000-0005-0000-0000-000001000000}"/>
    <cellStyle name="Normal_GEOL572 PS#3 Table" xfId="2" xr:uid="{00000000-0005-0000-0000-000002000000}"/>
    <cellStyle name="Normal_Raw Data Input" xfId="3" xr:uid="{00000000-0005-0000-0000-000003000000}"/>
    <cellStyle name="Percent" xfId="4" builtinId="5"/>
    <cellStyle name="TEMPLATE" xfId="5" xr:uid="{00000000-0005-0000-0000-000005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8876896485500289"/>
          <c:y val="0.15778546712802768"/>
          <c:w val="0.7653574034952948"/>
          <c:h val="0.5997231833910035"/>
        </c:manualLayout>
      </c:layout>
      <c:barChart>
        <c:barDir val="col"/>
        <c:grouping val="clustered"/>
        <c:varyColors val="1"/>
        <c:ser>
          <c:idx val="0"/>
          <c:order val="0"/>
          <c:tx>
            <c:strRef>
              <c:f>'Data Reduction Engine'!$C$5</c:f>
              <c:strCache>
                <c:ptCount val="1"/>
                <c:pt idx="0">
                  <c:v>15WZ1-2 t1</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5BFF0"/>
                  </a:gs>
                  <a:gs pos="100000">
                    <a:srgbClr val="3268A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F69E-9145-B3C3-D663E0A43687}"/>
              </c:ext>
            </c:extLst>
          </c:dPt>
          <c:dPt>
            <c:idx val="1"/>
            <c:invertIfNegative val="0"/>
            <c:bubble3D val="0"/>
            <c:spPr>
              <a:gradFill rotWithShape="0">
                <a:gsLst>
                  <a:gs pos="0">
                    <a:srgbClr val="F2A5A4"/>
                  </a:gs>
                  <a:gs pos="100000">
                    <a:srgbClr val="AD333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F69E-9145-B3C3-D663E0A43687}"/>
              </c:ext>
            </c:extLst>
          </c:dPt>
          <c:dPt>
            <c:idx val="2"/>
            <c:invertIfNegative val="0"/>
            <c:bubble3D val="0"/>
            <c:spPr>
              <a:gradFill rotWithShape="0">
                <a:gsLst>
                  <a:gs pos="0">
                    <a:srgbClr val="D1EDA8"/>
                  </a:gs>
                  <a:gs pos="100000">
                    <a:srgbClr val="83A6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F69E-9145-B3C3-D663E0A43687}"/>
              </c:ext>
            </c:extLst>
          </c:dPt>
          <c:dPt>
            <c:idx val="3"/>
            <c:invertIfNegative val="0"/>
            <c:bubble3D val="0"/>
            <c:spPr>
              <a:gradFill rotWithShape="0">
                <a:gsLst>
                  <a:gs pos="0">
                    <a:srgbClr val="C4B4DD"/>
                  </a:gs>
                  <a:gs pos="100000">
                    <a:srgbClr val="68498D"/>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F69E-9145-B3C3-D663E0A43687}"/>
              </c:ext>
            </c:extLst>
          </c:dPt>
          <c:dPt>
            <c:idx val="4"/>
            <c:invertIfNegative val="0"/>
            <c:bubble3D val="0"/>
            <c:spPr>
              <a:gradFill rotWithShape="0">
                <a:gsLst>
                  <a:gs pos="0">
                    <a:srgbClr val="A1DDF6"/>
                  </a:gs>
                  <a:gs pos="100000">
                    <a:srgbClr val="2D96B3"/>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F69E-9145-B3C3-D663E0A43687}"/>
              </c:ext>
            </c:extLst>
          </c:dPt>
          <c:dPt>
            <c:idx val="5"/>
            <c:invertIfNegative val="0"/>
            <c:bubble3D val="0"/>
            <c:spPr>
              <a:gradFill rotWithShape="0">
                <a:gsLst>
                  <a:gs pos="0">
                    <a:srgbClr val="FFB88C"/>
                  </a:gs>
                  <a:gs pos="100000">
                    <a:srgbClr val="E2792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F69E-9145-B3C3-D663E0A43687}"/>
              </c:ext>
            </c:extLst>
          </c:dPt>
          <c:dPt>
            <c:idx val="6"/>
            <c:invertIfNegative val="0"/>
            <c:bubble3D val="0"/>
            <c:extLst>
              <c:ext xmlns:c16="http://schemas.microsoft.com/office/drawing/2014/chart" uri="{C3380CC4-5D6E-409C-BE32-E72D297353CC}">
                <c16:uniqueId val="{00000006-F69E-9145-B3C3-D663E0A43687}"/>
              </c:ext>
            </c:extLst>
          </c:dPt>
          <c:dPt>
            <c:idx val="7"/>
            <c:invertIfNegative val="0"/>
            <c:bubble3D val="0"/>
            <c:spPr>
              <a:gradFill rotWithShape="0">
                <a:gsLst>
                  <a:gs pos="0">
                    <a:srgbClr val="FF9A99"/>
                  </a:gs>
                  <a:gs pos="100000">
                    <a:srgbClr val="D140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F69E-9145-B3C3-D663E0A43687}"/>
              </c:ext>
            </c:extLst>
          </c:dPt>
          <c:dPt>
            <c:idx val="8"/>
            <c:invertIfNegative val="0"/>
            <c:bubble3D val="0"/>
            <c:spPr>
              <a:gradFill rotWithShape="0">
                <a:gsLst>
                  <a:gs pos="0">
                    <a:srgbClr val="DCFFA0"/>
                  </a:gs>
                  <a:gs pos="100000">
                    <a:srgbClr val="A0CA4A"/>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F69E-9145-B3C3-D663E0A43687}"/>
              </c:ext>
            </c:extLst>
          </c:dPt>
          <c:dPt>
            <c:idx val="9"/>
            <c:invertIfNegative val="0"/>
            <c:bubble3D val="0"/>
            <c:spPr>
              <a:gradFill rotWithShape="0">
                <a:gsLst>
                  <a:gs pos="0">
                    <a:srgbClr val="C8B0ED"/>
                  </a:gs>
                  <a:gs pos="100000">
                    <a:srgbClr val="7F5BA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F69E-9145-B3C3-D663E0A43687}"/>
              </c:ext>
            </c:extLst>
          </c:dPt>
          <c:dPt>
            <c:idx val="10"/>
            <c:invertIfNegative val="0"/>
            <c:bubble3D val="0"/>
            <c:spPr>
              <a:gradFill rotWithShape="0">
                <a:gsLst>
                  <a:gs pos="0">
                    <a:srgbClr val="95EEFF"/>
                  </a:gs>
                  <a:gs pos="100000">
                    <a:srgbClr val="39B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F69E-9145-B3C3-D663E0A43687}"/>
              </c:ext>
            </c:extLst>
          </c:dPt>
          <c:dPt>
            <c:idx val="11"/>
            <c:invertIfNegative val="0"/>
            <c:bubble3D val="0"/>
            <c:spPr>
              <a:gradFill rotWithShape="0">
                <a:gsLst>
                  <a:gs pos="0">
                    <a:srgbClr val="FFB977"/>
                  </a:gs>
                  <a:gs pos="100000">
                    <a:srgbClr val="FF932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B-F69E-9145-B3C3-D663E0A43687}"/>
              </c:ext>
            </c:extLst>
          </c:dPt>
          <c:cat>
            <c:strRef>
              <c:f>'Data Reduction Engine'!$B$838:$B$849</c:f>
              <c:strCache>
                <c:ptCount val="12"/>
                <c:pt idx="0">
                  <c:v>(206/205)m</c:v>
                </c:pt>
                <c:pt idx="1">
                  <c:v>(204/206)m</c:v>
                </c:pt>
                <c:pt idx="2">
                  <c:v>FPb</c:v>
                </c:pt>
                <c:pt idx="3">
                  <c:v>206Pb blank</c:v>
                </c:pt>
                <c:pt idx="4">
                  <c:v>(206/204)b</c:v>
                </c:pt>
                <c:pt idx="5">
                  <c:v>(206/204)c</c:v>
                </c:pt>
                <c:pt idx="6">
                  <c:v>(238/235)m</c:v>
                </c:pt>
                <c:pt idx="7">
                  <c:v>FU</c:v>
                </c:pt>
                <c:pt idx="8">
                  <c:v>238U blank</c:v>
                </c:pt>
                <c:pt idx="9">
                  <c:v>(Th/U)zircon</c:v>
                </c:pt>
                <c:pt idx="10">
                  <c:v>(Th/U)magma</c:v>
                </c:pt>
                <c:pt idx="11">
                  <c:v>(Th/U)initial</c:v>
                </c:pt>
              </c:strCache>
            </c:strRef>
          </c:cat>
          <c:val>
            <c:numRef>
              <c:f>'Data Reduction Engine'!$C$838:$C$849</c:f>
              <c:numCache>
                <c:formatCode>0.00%</c:formatCode>
                <c:ptCount val="12"/>
                <c:pt idx="0">
                  <c:v>2.0297366417635567E-3</c:v>
                </c:pt>
                <c:pt idx="1">
                  <c:v>1.3305587252072943E-2</c:v>
                </c:pt>
                <c:pt idx="2">
                  <c:v>5.3231481663370737E-2</c:v>
                </c:pt>
                <c:pt idx="3">
                  <c:v>1.0903284298737154E-2</c:v>
                </c:pt>
                <c:pt idx="4">
                  <c:v>7.954053081400703E-3</c:v>
                </c:pt>
                <c:pt idx="5">
                  <c:v>0.90687295560969128</c:v>
                </c:pt>
                <c:pt idx="6">
                  <c:v>1.0826556889988149E-3</c:v>
                </c:pt>
                <c:pt idx="7">
                  <c:v>4.0381248431869453E-3</c:v>
                </c:pt>
                <c:pt idx="8">
                  <c:v>5.6968840349704269E-4</c:v>
                </c:pt>
                <c:pt idx="9">
                  <c:v>8.647439303365551E-6</c:v>
                </c:pt>
                <c:pt idx="10">
                  <c:v>3.4725486031254096E-6</c:v>
                </c:pt>
                <c:pt idx="11">
                  <c:v>3.12529374281287E-7</c:v>
                </c:pt>
              </c:numCache>
            </c:numRef>
          </c:val>
          <c:extLst>
            <c:ext xmlns:c16="http://schemas.microsoft.com/office/drawing/2014/chart" uri="{C3380CC4-5D6E-409C-BE32-E72D297353CC}">
              <c16:uniqueId val="{0000000C-F69E-9145-B3C3-D663E0A43687}"/>
            </c:ext>
          </c:extLst>
        </c:ser>
        <c:dLbls>
          <c:showLegendKey val="0"/>
          <c:showVal val="0"/>
          <c:showCatName val="0"/>
          <c:showSerName val="0"/>
          <c:showPercent val="0"/>
          <c:showBubbleSize val="0"/>
        </c:dLbls>
        <c:gapWidth val="0"/>
        <c:axId val="1013381680"/>
        <c:axId val="1"/>
      </c:barChart>
      <c:catAx>
        <c:axId val="1013381680"/>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1338168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5225657768388698"/>
          <c:y val="0.15833333333333305"/>
          <c:w val="0.68669982715575228"/>
          <c:h val="0.64123496281714798"/>
        </c:manualLayout>
      </c:layout>
      <c:barChart>
        <c:barDir val="col"/>
        <c:grouping val="clustered"/>
        <c:varyColors val="1"/>
        <c:ser>
          <c:idx val="0"/>
          <c:order val="0"/>
          <c:tx>
            <c:strRef>
              <c:f>'Data Reduction Engine'!$G$5</c:f>
              <c:strCache>
                <c:ptCount val="1"/>
                <c:pt idx="0">
                  <c:v>15WZ1-2 t4</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2BFF8"/>
                  </a:gs>
                  <a:gs pos="100000">
                    <a:srgbClr val="3670B6"/>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DB82-0841-A430-1916E37AF9B0}"/>
              </c:ext>
            </c:extLst>
          </c:dPt>
          <c:dPt>
            <c:idx val="1"/>
            <c:invertIfNegative val="0"/>
            <c:bubble3D val="0"/>
            <c:spPr>
              <a:gradFill rotWithShape="0">
                <a:gsLst>
                  <a:gs pos="0">
                    <a:srgbClr val="FAA1A0"/>
                  </a:gs>
                  <a:gs pos="100000">
                    <a:srgbClr val="B93734"/>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DB82-0841-A430-1916E37AF9B0}"/>
              </c:ext>
            </c:extLst>
          </c:dPt>
          <c:dPt>
            <c:idx val="2"/>
            <c:invertIfNegative val="0"/>
            <c:bubble3D val="0"/>
            <c:spPr>
              <a:gradFill rotWithShape="0">
                <a:gsLst>
                  <a:gs pos="0">
                    <a:srgbClr val="D4F4A6"/>
                  </a:gs>
                  <a:gs pos="100000">
                    <a:srgbClr val="8DB241"/>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DB82-0841-A430-1916E37AF9B0}"/>
              </c:ext>
            </c:extLst>
          </c:dPt>
          <c:dPt>
            <c:idx val="3"/>
            <c:invertIfNegative val="0"/>
            <c:bubble3D val="0"/>
            <c:spPr>
              <a:gradFill rotWithShape="0">
                <a:gsLst>
                  <a:gs pos="0">
                    <a:srgbClr val="C5B3E2"/>
                  </a:gs>
                  <a:gs pos="100000">
                    <a:srgbClr val="704F97"/>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DB82-0841-A430-1916E37AF9B0}"/>
              </c:ext>
            </c:extLst>
          </c:dPt>
          <c:dPt>
            <c:idx val="4"/>
            <c:invertIfNegative val="0"/>
            <c:bubble3D val="0"/>
            <c:spPr>
              <a:gradFill rotWithShape="0">
                <a:gsLst>
                  <a:gs pos="0">
                    <a:srgbClr val="9DE2FF"/>
                  </a:gs>
                  <a:gs pos="100000">
                    <a:srgbClr val="31A1C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DB82-0841-A430-1916E37AF9B0}"/>
              </c:ext>
            </c:extLst>
          </c:dPt>
          <c:dPt>
            <c:idx val="5"/>
            <c:invertIfNegative val="0"/>
            <c:bubble3D val="0"/>
            <c:spPr>
              <a:gradFill rotWithShape="0">
                <a:gsLst>
                  <a:gs pos="0">
                    <a:srgbClr val="FFB885"/>
                  </a:gs>
                  <a:gs pos="100000">
                    <a:srgbClr val="F28225"/>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DB82-0841-A430-1916E37AF9B0}"/>
              </c:ext>
            </c:extLst>
          </c:dPt>
          <c:dPt>
            <c:idx val="6"/>
            <c:invertIfNegative val="0"/>
            <c:bubble3D val="0"/>
            <c:spPr>
              <a:gradFill rotWithShape="0">
                <a:gsLst>
                  <a:gs pos="0">
                    <a:srgbClr val="B6D1FF"/>
                  </a:gs>
                  <a:gs pos="100000">
                    <a:srgbClr val="8AA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6-DB82-0841-A430-1916E37AF9B0}"/>
              </c:ext>
            </c:extLst>
          </c:dPt>
          <c:dPt>
            <c:idx val="7"/>
            <c:invertIfNegative val="0"/>
            <c:bubble3D val="0"/>
            <c:spPr>
              <a:gradFill rotWithShape="0">
                <a:gsLst>
                  <a:gs pos="0">
                    <a:srgbClr val="FFB6B4"/>
                  </a:gs>
                  <a:gs pos="100000">
                    <a:srgbClr val="DA8A8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DB82-0841-A430-1916E37AF9B0}"/>
              </c:ext>
            </c:extLst>
          </c:dPt>
          <c:dPt>
            <c:idx val="8"/>
            <c:invertIfNegative val="0"/>
            <c:bubble3D val="0"/>
            <c:spPr>
              <a:gradFill rotWithShape="0">
                <a:gsLst>
                  <a:gs pos="0">
                    <a:srgbClr val="E4FFBA"/>
                  </a:gs>
                  <a:gs pos="100000">
                    <a:srgbClr val="BBD68E"/>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DB82-0841-A430-1916E37AF9B0}"/>
              </c:ext>
            </c:extLst>
          </c:dPt>
          <c:dPt>
            <c:idx val="9"/>
            <c:invertIfNegative val="0"/>
            <c:bubble3D val="0"/>
            <c:spPr>
              <a:gradFill rotWithShape="0">
                <a:gsLst>
                  <a:gs pos="0">
                    <a:srgbClr val="D6C5F1"/>
                  </a:gs>
                  <a:gs pos="100000">
                    <a:srgbClr val="A896C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DB82-0841-A430-1916E37AF9B0}"/>
              </c:ext>
            </c:extLst>
          </c:dPt>
          <c:dPt>
            <c:idx val="10"/>
            <c:invertIfNegative val="0"/>
            <c:bubble3D val="0"/>
            <c:spPr>
              <a:gradFill rotWithShape="0">
                <a:gsLst>
                  <a:gs pos="0">
                    <a:srgbClr val="B2F1FF"/>
                  </a:gs>
                  <a:gs pos="100000">
                    <a:srgbClr val="87C8DF"/>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DB82-0841-A430-1916E37AF9B0}"/>
              </c:ext>
            </c:extLst>
          </c:dPt>
          <c:cat>
            <c:strRef>
              <c:f>'Data Reduction Engine'!$B$864:$B$874</c:f>
              <c:strCache>
                <c:ptCount val="11"/>
                <c:pt idx="0">
                  <c:v>(206/205)m</c:v>
                </c:pt>
                <c:pt idx="1">
                  <c:v>(207/206)m</c:v>
                </c:pt>
                <c:pt idx="2">
                  <c:v>(204/206)m</c:v>
                </c:pt>
                <c:pt idx="3">
                  <c:v>FPb</c:v>
                </c:pt>
                <c:pt idx="4">
                  <c:v>206Pb blank</c:v>
                </c:pt>
                <c:pt idx="5">
                  <c:v>(206/204)b</c:v>
                </c:pt>
                <c:pt idx="6">
                  <c:v>(207/206)c</c:v>
                </c:pt>
                <c:pt idx="7">
                  <c:v>(206/204)c</c:v>
                </c:pt>
                <c:pt idx="8">
                  <c:v>(206/205)t</c:v>
                </c:pt>
                <c:pt idx="9">
                  <c:v>(207/206)t</c:v>
                </c:pt>
                <c:pt idx="10">
                  <c:v>(204/205)t</c:v>
                </c:pt>
              </c:strCache>
            </c:strRef>
          </c:cat>
          <c:val>
            <c:numRef>
              <c:f>'Data Reduction Engine'!$G$864:$G$874</c:f>
              <c:numCache>
                <c:formatCode>0.00%</c:formatCode>
                <c:ptCount val="11"/>
                <c:pt idx="0">
                  <c:v>3.2848531519448977E-7</c:v>
                </c:pt>
                <c:pt idx="1">
                  <c:v>0.25026742520850853</c:v>
                </c:pt>
                <c:pt idx="2">
                  <c:v>0.17409219901036901</c:v>
                </c:pt>
                <c:pt idx="3">
                  <c:v>0.16575446733848928</c:v>
                </c:pt>
                <c:pt idx="4">
                  <c:v>1.9798438585706075E-4</c:v>
                </c:pt>
                <c:pt idx="5">
                  <c:v>5.4914823997803423E-3</c:v>
                </c:pt>
                <c:pt idx="6">
                  <c:v>0.39466081047276874</c:v>
                </c:pt>
                <c:pt idx="7">
                  <c:v>9.3625129843973275E-3</c:v>
                </c:pt>
                <c:pt idx="8">
                  <c:v>6.8376051084311693E-6</c:v>
                </c:pt>
                <c:pt idx="9">
                  <c:v>1.3414266137490662E-11</c:v>
                </c:pt>
                <c:pt idx="10">
                  <c:v>1.659520959917493E-4</c:v>
                </c:pt>
              </c:numCache>
            </c:numRef>
          </c:val>
          <c:extLst>
            <c:ext xmlns:c16="http://schemas.microsoft.com/office/drawing/2014/chart" uri="{C3380CC4-5D6E-409C-BE32-E72D297353CC}">
              <c16:uniqueId val="{0000000B-DB82-0841-A430-1916E37AF9B0}"/>
            </c:ext>
          </c:extLst>
        </c:ser>
        <c:dLbls>
          <c:showLegendKey val="0"/>
          <c:showVal val="0"/>
          <c:showCatName val="0"/>
          <c:showSerName val="0"/>
          <c:showPercent val="0"/>
          <c:showBubbleSize val="0"/>
        </c:dLbls>
        <c:gapWidth val="0"/>
        <c:axId val="1051848784"/>
        <c:axId val="1"/>
      </c:barChart>
      <c:catAx>
        <c:axId val="1051848784"/>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518487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8876896485500305"/>
          <c:y val="0.15778546712802805"/>
          <c:w val="0.76535740349529513"/>
          <c:h val="0.59972318339100306"/>
        </c:manualLayout>
      </c:layout>
      <c:barChart>
        <c:barDir val="col"/>
        <c:grouping val="clustered"/>
        <c:varyColors val="1"/>
        <c:ser>
          <c:idx val="0"/>
          <c:order val="0"/>
          <c:tx>
            <c:strRef>
              <c:f>'Data Reduction Engine'!$H$5</c:f>
              <c:strCache>
                <c:ptCount val="1"/>
                <c:pt idx="0">
                  <c:v>15WZ1-2 t5</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5BFF0"/>
                  </a:gs>
                  <a:gs pos="100000">
                    <a:srgbClr val="3268A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29A8-C743-A1BE-44E77BC295D5}"/>
              </c:ext>
            </c:extLst>
          </c:dPt>
          <c:dPt>
            <c:idx val="1"/>
            <c:invertIfNegative val="0"/>
            <c:bubble3D val="0"/>
            <c:spPr>
              <a:gradFill rotWithShape="0">
                <a:gsLst>
                  <a:gs pos="0">
                    <a:srgbClr val="F2A5A4"/>
                  </a:gs>
                  <a:gs pos="100000">
                    <a:srgbClr val="AD333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29A8-C743-A1BE-44E77BC295D5}"/>
              </c:ext>
            </c:extLst>
          </c:dPt>
          <c:dPt>
            <c:idx val="2"/>
            <c:invertIfNegative val="0"/>
            <c:bubble3D val="0"/>
            <c:spPr>
              <a:gradFill rotWithShape="0">
                <a:gsLst>
                  <a:gs pos="0">
                    <a:srgbClr val="D1EDA8"/>
                  </a:gs>
                  <a:gs pos="100000">
                    <a:srgbClr val="83A6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29A8-C743-A1BE-44E77BC295D5}"/>
              </c:ext>
            </c:extLst>
          </c:dPt>
          <c:dPt>
            <c:idx val="3"/>
            <c:invertIfNegative val="0"/>
            <c:bubble3D val="0"/>
            <c:spPr>
              <a:gradFill rotWithShape="0">
                <a:gsLst>
                  <a:gs pos="0">
                    <a:srgbClr val="C4B4DD"/>
                  </a:gs>
                  <a:gs pos="100000">
                    <a:srgbClr val="68498D"/>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29A8-C743-A1BE-44E77BC295D5}"/>
              </c:ext>
            </c:extLst>
          </c:dPt>
          <c:dPt>
            <c:idx val="4"/>
            <c:invertIfNegative val="0"/>
            <c:bubble3D val="0"/>
            <c:spPr>
              <a:gradFill rotWithShape="0">
                <a:gsLst>
                  <a:gs pos="0">
                    <a:srgbClr val="A1DDF6"/>
                  </a:gs>
                  <a:gs pos="100000">
                    <a:srgbClr val="2D96B3"/>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29A8-C743-A1BE-44E77BC295D5}"/>
              </c:ext>
            </c:extLst>
          </c:dPt>
          <c:dPt>
            <c:idx val="5"/>
            <c:invertIfNegative val="0"/>
            <c:bubble3D val="0"/>
            <c:spPr>
              <a:gradFill rotWithShape="0">
                <a:gsLst>
                  <a:gs pos="0">
                    <a:srgbClr val="FFB88C"/>
                  </a:gs>
                  <a:gs pos="100000">
                    <a:srgbClr val="E2792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29A8-C743-A1BE-44E77BC295D5}"/>
              </c:ext>
            </c:extLst>
          </c:dPt>
          <c:dPt>
            <c:idx val="6"/>
            <c:invertIfNegative val="0"/>
            <c:bubble3D val="0"/>
            <c:extLst>
              <c:ext xmlns:c16="http://schemas.microsoft.com/office/drawing/2014/chart" uri="{C3380CC4-5D6E-409C-BE32-E72D297353CC}">
                <c16:uniqueId val="{00000006-29A8-C743-A1BE-44E77BC295D5}"/>
              </c:ext>
            </c:extLst>
          </c:dPt>
          <c:dPt>
            <c:idx val="7"/>
            <c:invertIfNegative val="0"/>
            <c:bubble3D val="0"/>
            <c:spPr>
              <a:gradFill rotWithShape="0">
                <a:gsLst>
                  <a:gs pos="0">
                    <a:srgbClr val="FF9A99"/>
                  </a:gs>
                  <a:gs pos="100000">
                    <a:srgbClr val="D140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29A8-C743-A1BE-44E77BC295D5}"/>
              </c:ext>
            </c:extLst>
          </c:dPt>
          <c:dPt>
            <c:idx val="8"/>
            <c:invertIfNegative val="0"/>
            <c:bubble3D val="0"/>
            <c:spPr>
              <a:gradFill rotWithShape="0">
                <a:gsLst>
                  <a:gs pos="0">
                    <a:srgbClr val="DCFFA0"/>
                  </a:gs>
                  <a:gs pos="100000">
                    <a:srgbClr val="A0CA4A"/>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29A8-C743-A1BE-44E77BC295D5}"/>
              </c:ext>
            </c:extLst>
          </c:dPt>
          <c:dPt>
            <c:idx val="9"/>
            <c:invertIfNegative val="0"/>
            <c:bubble3D val="0"/>
            <c:spPr>
              <a:gradFill rotWithShape="0">
                <a:gsLst>
                  <a:gs pos="0">
                    <a:srgbClr val="C8B0ED"/>
                  </a:gs>
                  <a:gs pos="100000">
                    <a:srgbClr val="7F5BA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29A8-C743-A1BE-44E77BC295D5}"/>
              </c:ext>
            </c:extLst>
          </c:dPt>
          <c:dPt>
            <c:idx val="10"/>
            <c:invertIfNegative val="0"/>
            <c:bubble3D val="0"/>
            <c:spPr>
              <a:gradFill rotWithShape="0">
                <a:gsLst>
                  <a:gs pos="0">
                    <a:srgbClr val="95EEFF"/>
                  </a:gs>
                  <a:gs pos="100000">
                    <a:srgbClr val="39B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29A8-C743-A1BE-44E77BC295D5}"/>
              </c:ext>
            </c:extLst>
          </c:dPt>
          <c:dPt>
            <c:idx val="11"/>
            <c:invertIfNegative val="0"/>
            <c:bubble3D val="0"/>
            <c:spPr>
              <a:gradFill rotWithShape="0">
                <a:gsLst>
                  <a:gs pos="0">
                    <a:srgbClr val="FFB977"/>
                  </a:gs>
                  <a:gs pos="100000">
                    <a:srgbClr val="FF932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B-29A8-C743-A1BE-44E77BC295D5}"/>
              </c:ext>
            </c:extLst>
          </c:dPt>
          <c:cat>
            <c:strRef>
              <c:f>'Data Reduction Engine'!$B$838:$B$849</c:f>
              <c:strCache>
                <c:ptCount val="12"/>
                <c:pt idx="0">
                  <c:v>(206/205)m</c:v>
                </c:pt>
                <c:pt idx="1">
                  <c:v>(204/206)m</c:v>
                </c:pt>
                <c:pt idx="2">
                  <c:v>FPb</c:v>
                </c:pt>
                <c:pt idx="3">
                  <c:v>206Pb blank</c:v>
                </c:pt>
                <c:pt idx="4">
                  <c:v>(206/204)b</c:v>
                </c:pt>
                <c:pt idx="5">
                  <c:v>(206/204)c</c:v>
                </c:pt>
                <c:pt idx="6">
                  <c:v>(238/235)m</c:v>
                </c:pt>
                <c:pt idx="7">
                  <c:v>FU</c:v>
                </c:pt>
                <c:pt idx="8">
                  <c:v>238U blank</c:v>
                </c:pt>
                <c:pt idx="9">
                  <c:v>(Th/U)zircon</c:v>
                </c:pt>
                <c:pt idx="10">
                  <c:v>(Th/U)magma</c:v>
                </c:pt>
                <c:pt idx="11">
                  <c:v>(Th/U)initial</c:v>
                </c:pt>
              </c:strCache>
            </c:strRef>
          </c:cat>
          <c:val>
            <c:numRef>
              <c:f>'Data Reduction Engine'!$H$838:$H$849</c:f>
              <c:numCache>
                <c:formatCode>0.00%</c:formatCode>
                <c:ptCount val="12"/>
                <c:pt idx="0">
                  <c:v>7.1678507379860511E-5</c:v>
                </c:pt>
                <c:pt idx="1">
                  <c:v>2.3790592518011921E-2</c:v>
                </c:pt>
                <c:pt idx="2">
                  <c:v>1.3665474538832385E-2</c:v>
                </c:pt>
                <c:pt idx="3">
                  <c:v>4.95506042024506E-3</c:v>
                </c:pt>
                <c:pt idx="4">
                  <c:v>3.6147652876245533E-3</c:v>
                </c:pt>
                <c:pt idx="5">
                  <c:v>0.94894809314657746</c:v>
                </c:pt>
                <c:pt idx="6">
                  <c:v>4.5600658616806733E-3</c:v>
                </c:pt>
                <c:pt idx="7">
                  <c:v>4.2933541348552056E-5</c:v>
                </c:pt>
                <c:pt idx="8">
                  <c:v>3.4382186451218408E-4</c:v>
                </c:pt>
                <c:pt idx="9">
                  <c:v>6.7717383868561445E-6</c:v>
                </c:pt>
                <c:pt idx="10">
                  <c:v>6.81261835280042E-7</c:v>
                </c:pt>
                <c:pt idx="11">
                  <c:v>6.1313565175203762E-8</c:v>
                </c:pt>
              </c:numCache>
            </c:numRef>
          </c:val>
          <c:extLst>
            <c:ext xmlns:c16="http://schemas.microsoft.com/office/drawing/2014/chart" uri="{C3380CC4-5D6E-409C-BE32-E72D297353CC}">
              <c16:uniqueId val="{0000000C-29A8-C743-A1BE-44E77BC295D5}"/>
            </c:ext>
          </c:extLst>
        </c:ser>
        <c:dLbls>
          <c:showLegendKey val="0"/>
          <c:showVal val="0"/>
          <c:showCatName val="0"/>
          <c:showSerName val="0"/>
          <c:showPercent val="0"/>
          <c:showBubbleSize val="0"/>
        </c:dLbls>
        <c:gapWidth val="0"/>
        <c:axId val="1052061120"/>
        <c:axId val="1"/>
      </c:barChart>
      <c:catAx>
        <c:axId val="1052061120"/>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520611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5225657768388698"/>
          <c:y val="0.15833333333333305"/>
          <c:w val="0.68669982715575228"/>
          <c:h val="0.64123496281714798"/>
        </c:manualLayout>
      </c:layout>
      <c:barChart>
        <c:barDir val="col"/>
        <c:grouping val="clustered"/>
        <c:varyColors val="1"/>
        <c:ser>
          <c:idx val="0"/>
          <c:order val="0"/>
          <c:tx>
            <c:strRef>
              <c:f>'Data Reduction Engine'!$H$5</c:f>
              <c:strCache>
                <c:ptCount val="1"/>
                <c:pt idx="0">
                  <c:v>15WZ1-2 t5</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2BFF8"/>
                  </a:gs>
                  <a:gs pos="100000">
                    <a:srgbClr val="3670B6"/>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51ED-D04B-9502-2D8526B7A157}"/>
              </c:ext>
            </c:extLst>
          </c:dPt>
          <c:dPt>
            <c:idx val="1"/>
            <c:invertIfNegative val="0"/>
            <c:bubble3D val="0"/>
            <c:spPr>
              <a:gradFill rotWithShape="0">
                <a:gsLst>
                  <a:gs pos="0">
                    <a:srgbClr val="FAA1A0"/>
                  </a:gs>
                  <a:gs pos="100000">
                    <a:srgbClr val="B93734"/>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51ED-D04B-9502-2D8526B7A157}"/>
              </c:ext>
            </c:extLst>
          </c:dPt>
          <c:dPt>
            <c:idx val="2"/>
            <c:invertIfNegative val="0"/>
            <c:bubble3D val="0"/>
            <c:spPr>
              <a:gradFill rotWithShape="0">
                <a:gsLst>
                  <a:gs pos="0">
                    <a:srgbClr val="D4F4A6"/>
                  </a:gs>
                  <a:gs pos="100000">
                    <a:srgbClr val="8DB241"/>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51ED-D04B-9502-2D8526B7A157}"/>
              </c:ext>
            </c:extLst>
          </c:dPt>
          <c:dPt>
            <c:idx val="3"/>
            <c:invertIfNegative val="0"/>
            <c:bubble3D val="0"/>
            <c:spPr>
              <a:gradFill rotWithShape="0">
                <a:gsLst>
                  <a:gs pos="0">
                    <a:srgbClr val="C5B3E2"/>
                  </a:gs>
                  <a:gs pos="100000">
                    <a:srgbClr val="704F97"/>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51ED-D04B-9502-2D8526B7A157}"/>
              </c:ext>
            </c:extLst>
          </c:dPt>
          <c:dPt>
            <c:idx val="4"/>
            <c:invertIfNegative val="0"/>
            <c:bubble3D val="0"/>
            <c:spPr>
              <a:gradFill rotWithShape="0">
                <a:gsLst>
                  <a:gs pos="0">
                    <a:srgbClr val="9DE2FF"/>
                  </a:gs>
                  <a:gs pos="100000">
                    <a:srgbClr val="31A1C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51ED-D04B-9502-2D8526B7A157}"/>
              </c:ext>
            </c:extLst>
          </c:dPt>
          <c:dPt>
            <c:idx val="5"/>
            <c:invertIfNegative val="0"/>
            <c:bubble3D val="0"/>
            <c:spPr>
              <a:gradFill rotWithShape="0">
                <a:gsLst>
                  <a:gs pos="0">
                    <a:srgbClr val="FFB885"/>
                  </a:gs>
                  <a:gs pos="100000">
                    <a:srgbClr val="F28225"/>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51ED-D04B-9502-2D8526B7A157}"/>
              </c:ext>
            </c:extLst>
          </c:dPt>
          <c:dPt>
            <c:idx val="6"/>
            <c:invertIfNegative val="0"/>
            <c:bubble3D val="0"/>
            <c:spPr>
              <a:gradFill rotWithShape="0">
                <a:gsLst>
                  <a:gs pos="0">
                    <a:srgbClr val="B6D1FF"/>
                  </a:gs>
                  <a:gs pos="100000">
                    <a:srgbClr val="8AA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6-51ED-D04B-9502-2D8526B7A157}"/>
              </c:ext>
            </c:extLst>
          </c:dPt>
          <c:dPt>
            <c:idx val="7"/>
            <c:invertIfNegative val="0"/>
            <c:bubble3D val="0"/>
            <c:spPr>
              <a:gradFill rotWithShape="0">
                <a:gsLst>
                  <a:gs pos="0">
                    <a:srgbClr val="FFB6B4"/>
                  </a:gs>
                  <a:gs pos="100000">
                    <a:srgbClr val="DA8A8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51ED-D04B-9502-2D8526B7A157}"/>
              </c:ext>
            </c:extLst>
          </c:dPt>
          <c:dPt>
            <c:idx val="8"/>
            <c:invertIfNegative val="0"/>
            <c:bubble3D val="0"/>
            <c:spPr>
              <a:gradFill rotWithShape="0">
                <a:gsLst>
                  <a:gs pos="0">
                    <a:srgbClr val="E4FFBA"/>
                  </a:gs>
                  <a:gs pos="100000">
                    <a:srgbClr val="BBD68E"/>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51ED-D04B-9502-2D8526B7A157}"/>
              </c:ext>
            </c:extLst>
          </c:dPt>
          <c:dPt>
            <c:idx val="9"/>
            <c:invertIfNegative val="0"/>
            <c:bubble3D val="0"/>
            <c:spPr>
              <a:gradFill rotWithShape="0">
                <a:gsLst>
                  <a:gs pos="0">
                    <a:srgbClr val="D6C5F1"/>
                  </a:gs>
                  <a:gs pos="100000">
                    <a:srgbClr val="A896C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51ED-D04B-9502-2D8526B7A157}"/>
              </c:ext>
            </c:extLst>
          </c:dPt>
          <c:dPt>
            <c:idx val="10"/>
            <c:invertIfNegative val="0"/>
            <c:bubble3D val="0"/>
            <c:spPr>
              <a:gradFill rotWithShape="0">
                <a:gsLst>
                  <a:gs pos="0">
                    <a:srgbClr val="B2F1FF"/>
                  </a:gs>
                  <a:gs pos="100000">
                    <a:srgbClr val="87C8DF"/>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51ED-D04B-9502-2D8526B7A157}"/>
              </c:ext>
            </c:extLst>
          </c:dPt>
          <c:cat>
            <c:strRef>
              <c:f>'Data Reduction Engine'!$B$864:$B$874</c:f>
              <c:strCache>
                <c:ptCount val="11"/>
                <c:pt idx="0">
                  <c:v>(206/205)m</c:v>
                </c:pt>
                <c:pt idx="1">
                  <c:v>(207/206)m</c:v>
                </c:pt>
                <c:pt idx="2">
                  <c:v>(204/206)m</c:v>
                </c:pt>
                <c:pt idx="3">
                  <c:v>FPb</c:v>
                </c:pt>
                <c:pt idx="4">
                  <c:v>206Pb blank</c:v>
                </c:pt>
                <c:pt idx="5">
                  <c:v>(206/204)b</c:v>
                </c:pt>
                <c:pt idx="6">
                  <c:v>(207/206)c</c:v>
                </c:pt>
                <c:pt idx="7">
                  <c:v>(206/204)c</c:v>
                </c:pt>
                <c:pt idx="8">
                  <c:v>(206/205)t</c:v>
                </c:pt>
                <c:pt idx="9">
                  <c:v>(207/206)t</c:v>
                </c:pt>
                <c:pt idx="10">
                  <c:v>(204/205)t</c:v>
                </c:pt>
              </c:strCache>
            </c:strRef>
          </c:cat>
          <c:val>
            <c:numRef>
              <c:f>'Data Reduction Engine'!$H$864:$H$874</c:f>
              <c:numCache>
                <c:formatCode>0.00%</c:formatCode>
                <c:ptCount val="11"/>
                <c:pt idx="0">
                  <c:v>4.265174247134098E-7</c:v>
                </c:pt>
                <c:pt idx="1">
                  <c:v>0.57845391701342064</c:v>
                </c:pt>
                <c:pt idx="2">
                  <c:v>8.5406240515593729E-2</c:v>
                </c:pt>
                <c:pt idx="3">
                  <c:v>9.6301715561304277E-2</c:v>
                </c:pt>
                <c:pt idx="4">
                  <c:v>3.6699049622268635E-4</c:v>
                </c:pt>
                <c:pt idx="5">
                  <c:v>1.2976705533018837E-2</c:v>
                </c:pt>
                <c:pt idx="6">
                  <c:v>0.21368138198021486</c:v>
                </c:pt>
                <c:pt idx="7">
                  <c:v>1.255331497709818E-2</c:v>
                </c:pt>
                <c:pt idx="8">
                  <c:v>1.0285222335409358E-5</c:v>
                </c:pt>
                <c:pt idx="9">
                  <c:v>2.1029749978592451E-11</c:v>
                </c:pt>
                <c:pt idx="10">
                  <c:v>2.4902216233691648E-4</c:v>
                </c:pt>
              </c:numCache>
            </c:numRef>
          </c:val>
          <c:extLst>
            <c:ext xmlns:c16="http://schemas.microsoft.com/office/drawing/2014/chart" uri="{C3380CC4-5D6E-409C-BE32-E72D297353CC}">
              <c16:uniqueId val="{0000000B-51ED-D04B-9502-2D8526B7A157}"/>
            </c:ext>
          </c:extLst>
        </c:ser>
        <c:dLbls>
          <c:showLegendKey val="0"/>
          <c:showVal val="0"/>
          <c:showCatName val="0"/>
          <c:showSerName val="0"/>
          <c:showPercent val="0"/>
          <c:showBubbleSize val="0"/>
        </c:dLbls>
        <c:gapWidth val="0"/>
        <c:axId val="1051742288"/>
        <c:axId val="1"/>
      </c:barChart>
      <c:catAx>
        <c:axId val="1051742288"/>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517422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8876896485500305"/>
          <c:y val="0.15778546712802805"/>
          <c:w val="0.76535740349529513"/>
          <c:h val="0.59972318339100306"/>
        </c:manualLayout>
      </c:layout>
      <c:barChart>
        <c:barDir val="col"/>
        <c:grouping val="clustered"/>
        <c:varyColors val="1"/>
        <c:ser>
          <c:idx val="0"/>
          <c:order val="0"/>
          <c:tx>
            <c:strRef>
              <c:f>'Data Reduction Engine'!$I$5</c:f>
              <c:strCache>
                <c:ptCount val="1"/>
                <c:pt idx="0">
                  <c:v>15WZ1-2 t6</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5BFF0"/>
                  </a:gs>
                  <a:gs pos="100000">
                    <a:srgbClr val="3268A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245D-1545-A447-B4ACF8B2598B}"/>
              </c:ext>
            </c:extLst>
          </c:dPt>
          <c:dPt>
            <c:idx val="1"/>
            <c:invertIfNegative val="0"/>
            <c:bubble3D val="0"/>
            <c:spPr>
              <a:gradFill rotWithShape="0">
                <a:gsLst>
                  <a:gs pos="0">
                    <a:srgbClr val="F2A5A4"/>
                  </a:gs>
                  <a:gs pos="100000">
                    <a:srgbClr val="AD333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245D-1545-A447-B4ACF8B2598B}"/>
              </c:ext>
            </c:extLst>
          </c:dPt>
          <c:dPt>
            <c:idx val="2"/>
            <c:invertIfNegative val="0"/>
            <c:bubble3D val="0"/>
            <c:spPr>
              <a:gradFill rotWithShape="0">
                <a:gsLst>
                  <a:gs pos="0">
                    <a:srgbClr val="D1EDA8"/>
                  </a:gs>
                  <a:gs pos="100000">
                    <a:srgbClr val="83A6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245D-1545-A447-B4ACF8B2598B}"/>
              </c:ext>
            </c:extLst>
          </c:dPt>
          <c:dPt>
            <c:idx val="3"/>
            <c:invertIfNegative val="0"/>
            <c:bubble3D val="0"/>
            <c:spPr>
              <a:gradFill rotWithShape="0">
                <a:gsLst>
                  <a:gs pos="0">
                    <a:srgbClr val="C4B4DD"/>
                  </a:gs>
                  <a:gs pos="100000">
                    <a:srgbClr val="68498D"/>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245D-1545-A447-B4ACF8B2598B}"/>
              </c:ext>
            </c:extLst>
          </c:dPt>
          <c:dPt>
            <c:idx val="4"/>
            <c:invertIfNegative val="0"/>
            <c:bubble3D val="0"/>
            <c:spPr>
              <a:gradFill rotWithShape="0">
                <a:gsLst>
                  <a:gs pos="0">
                    <a:srgbClr val="A1DDF6"/>
                  </a:gs>
                  <a:gs pos="100000">
                    <a:srgbClr val="2D96B3"/>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245D-1545-A447-B4ACF8B2598B}"/>
              </c:ext>
            </c:extLst>
          </c:dPt>
          <c:dPt>
            <c:idx val="5"/>
            <c:invertIfNegative val="0"/>
            <c:bubble3D val="0"/>
            <c:spPr>
              <a:gradFill rotWithShape="0">
                <a:gsLst>
                  <a:gs pos="0">
                    <a:srgbClr val="FFB88C"/>
                  </a:gs>
                  <a:gs pos="100000">
                    <a:srgbClr val="E2792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245D-1545-A447-B4ACF8B2598B}"/>
              </c:ext>
            </c:extLst>
          </c:dPt>
          <c:dPt>
            <c:idx val="6"/>
            <c:invertIfNegative val="0"/>
            <c:bubble3D val="0"/>
            <c:extLst>
              <c:ext xmlns:c16="http://schemas.microsoft.com/office/drawing/2014/chart" uri="{C3380CC4-5D6E-409C-BE32-E72D297353CC}">
                <c16:uniqueId val="{00000006-245D-1545-A447-B4ACF8B2598B}"/>
              </c:ext>
            </c:extLst>
          </c:dPt>
          <c:dPt>
            <c:idx val="7"/>
            <c:invertIfNegative val="0"/>
            <c:bubble3D val="0"/>
            <c:spPr>
              <a:gradFill rotWithShape="0">
                <a:gsLst>
                  <a:gs pos="0">
                    <a:srgbClr val="FF9A99"/>
                  </a:gs>
                  <a:gs pos="100000">
                    <a:srgbClr val="D140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245D-1545-A447-B4ACF8B2598B}"/>
              </c:ext>
            </c:extLst>
          </c:dPt>
          <c:dPt>
            <c:idx val="8"/>
            <c:invertIfNegative val="0"/>
            <c:bubble3D val="0"/>
            <c:spPr>
              <a:gradFill rotWithShape="0">
                <a:gsLst>
                  <a:gs pos="0">
                    <a:srgbClr val="DCFFA0"/>
                  </a:gs>
                  <a:gs pos="100000">
                    <a:srgbClr val="A0CA4A"/>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245D-1545-A447-B4ACF8B2598B}"/>
              </c:ext>
            </c:extLst>
          </c:dPt>
          <c:dPt>
            <c:idx val="9"/>
            <c:invertIfNegative val="0"/>
            <c:bubble3D val="0"/>
            <c:spPr>
              <a:gradFill rotWithShape="0">
                <a:gsLst>
                  <a:gs pos="0">
                    <a:srgbClr val="C8B0ED"/>
                  </a:gs>
                  <a:gs pos="100000">
                    <a:srgbClr val="7F5BA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245D-1545-A447-B4ACF8B2598B}"/>
              </c:ext>
            </c:extLst>
          </c:dPt>
          <c:dPt>
            <c:idx val="10"/>
            <c:invertIfNegative val="0"/>
            <c:bubble3D val="0"/>
            <c:spPr>
              <a:gradFill rotWithShape="0">
                <a:gsLst>
                  <a:gs pos="0">
                    <a:srgbClr val="95EEFF"/>
                  </a:gs>
                  <a:gs pos="100000">
                    <a:srgbClr val="39B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245D-1545-A447-B4ACF8B2598B}"/>
              </c:ext>
            </c:extLst>
          </c:dPt>
          <c:dPt>
            <c:idx val="11"/>
            <c:invertIfNegative val="0"/>
            <c:bubble3D val="0"/>
            <c:spPr>
              <a:gradFill rotWithShape="0">
                <a:gsLst>
                  <a:gs pos="0">
                    <a:srgbClr val="FFB977"/>
                  </a:gs>
                  <a:gs pos="100000">
                    <a:srgbClr val="FF932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B-245D-1545-A447-B4ACF8B2598B}"/>
              </c:ext>
            </c:extLst>
          </c:dPt>
          <c:cat>
            <c:strRef>
              <c:f>'Data Reduction Engine'!$B$838:$B$849</c:f>
              <c:strCache>
                <c:ptCount val="12"/>
                <c:pt idx="0">
                  <c:v>(206/205)m</c:v>
                </c:pt>
                <c:pt idx="1">
                  <c:v>(204/206)m</c:v>
                </c:pt>
                <c:pt idx="2">
                  <c:v>FPb</c:v>
                </c:pt>
                <c:pt idx="3">
                  <c:v>206Pb blank</c:v>
                </c:pt>
                <c:pt idx="4">
                  <c:v>(206/204)b</c:v>
                </c:pt>
                <c:pt idx="5">
                  <c:v>(206/204)c</c:v>
                </c:pt>
                <c:pt idx="6">
                  <c:v>(238/235)m</c:v>
                </c:pt>
                <c:pt idx="7">
                  <c:v>FU</c:v>
                </c:pt>
                <c:pt idx="8">
                  <c:v>238U blank</c:v>
                </c:pt>
                <c:pt idx="9">
                  <c:v>(Th/U)zircon</c:v>
                </c:pt>
                <c:pt idx="10">
                  <c:v>(Th/U)magma</c:v>
                </c:pt>
                <c:pt idx="11">
                  <c:v>(Th/U)initial</c:v>
                </c:pt>
              </c:strCache>
            </c:strRef>
          </c:cat>
          <c:val>
            <c:numRef>
              <c:f>'Data Reduction Engine'!$I$838:$I$849</c:f>
              <c:numCache>
                <c:formatCode>0.00%</c:formatCode>
                <c:ptCount val="12"/>
                <c:pt idx="0">
                  <c:v>4.3173285821301573E-4</c:v>
                </c:pt>
                <c:pt idx="1">
                  <c:v>4.2232646270047136E-2</c:v>
                </c:pt>
                <c:pt idx="2">
                  <c:v>1.5918368889905162E-2</c:v>
                </c:pt>
                <c:pt idx="3">
                  <c:v>7.6018233458335568E-3</c:v>
                </c:pt>
                <c:pt idx="4">
                  <c:v>5.5456048610228806E-3</c:v>
                </c:pt>
                <c:pt idx="5">
                  <c:v>0.92737479913768828</c:v>
                </c:pt>
                <c:pt idx="6">
                  <c:v>3.3619647504245939E-4</c:v>
                </c:pt>
                <c:pt idx="7">
                  <c:v>1.1133781725958694E-4</c:v>
                </c:pt>
                <c:pt idx="8">
                  <c:v>4.3822636061078375E-4</c:v>
                </c:pt>
                <c:pt idx="9">
                  <c:v>8.3177133351802806E-6</c:v>
                </c:pt>
                <c:pt idx="10">
                  <c:v>8.6813857063081968E-7</c:v>
                </c:pt>
                <c:pt idx="11">
                  <c:v>7.8132471356773761E-8</c:v>
                </c:pt>
              </c:numCache>
            </c:numRef>
          </c:val>
          <c:extLst>
            <c:ext xmlns:c16="http://schemas.microsoft.com/office/drawing/2014/chart" uri="{C3380CC4-5D6E-409C-BE32-E72D297353CC}">
              <c16:uniqueId val="{0000000C-245D-1545-A447-B4ACF8B2598B}"/>
            </c:ext>
          </c:extLst>
        </c:ser>
        <c:dLbls>
          <c:showLegendKey val="0"/>
          <c:showVal val="0"/>
          <c:showCatName val="0"/>
          <c:showSerName val="0"/>
          <c:showPercent val="0"/>
          <c:showBubbleSize val="0"/>
        </c:dLbls>
        <c:gapWidth val="0"/>
        <c:axId val="1052699120"/>
        <c:axId val="1"/>
      </c:barChart>
      <c:catAx>
        <c:axId val="1052699120"/>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526991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5225657768388698"/>
          <c:y val="0.15833333333333305"/>
          <c:w val="0.68669982715575228"/>
          <c:h val="0.64123496281714798"/>
        </c:manualLayout>
      </c:layout>
      <c:barChart>
        <c:barDir val="col"/>
        <c:grouping val="clustered"/>
        <c:varyColors val="1"/>
        <c:ser>
          <c:idx val="0"/>
          <c:order val="0"/>
          <c:tx>
            <c:strRef>
              <c:f>'Data Reduction Engine'!$I$5</c:f>
              <c:strCache>
                <c:ptCount val="1"/>
                <c:pt idx="0">
                  <c:v>15WZ1-2 t6</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2BFF8"/>
                  </a:gs>
                  <a:gs pos="100000">
                    <a:srgbClr val="3670B6"/>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62E8-A640-B792-A6EE413D103E}"/>
              </c:ext>
            </c:extLst>
          </c:dPt>
          <c:dPt>
            <c:idx val="1"/>
            <c:invertIfNegative val="0"/>
            <c:bubble3D val="0"/>
            <c:spPr>
              <a:gradFill rotWithShape="0">
                <a:gsLst>
                  <a:gs pos="0">
                    <a:srgbClr val="FAA1A0"/>
                  </a:gs>
                  <a:gs pos="100000">
                    <a:srgbClr val="B93734"/>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62E8-A640-B792-A6EE413D103E}"/>
              </c:ext>
            </c:extLst>
          </c:dPt>
          <c:dPt>
            <c:idx val="2"/>
            <c:invertIfNegative val="0"/>
            <c:bubble3D val="0"/>
            <c:spPr>
              <a:gradFill rotWithShape="0">
                <a:gsLst>
                  <a:gs pos="0">
                    <a:srgbClr val="D4F4A6"/>
                  </a:gs>
                  <a:gs pos="100000">
                    <a:srgbClr val="8DB241"/>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62E8-A640-B792-A6EE413D103E}"/>
              </c:ext>
            </c:extLst>
          </c:dPt>
          <c:dPt>
            <c:idx val="3"/>
            <c:invertIfNegative val="0"/>
            <c:bubble3D val="0"/>
            <c:spPr>
              <a:gradFill rotWithShape="0">
                <a:gsLst>
                  <a:gs pos="0">
                    <a:srgbClr val="C5B3E2"/>
                  </a:gs>
                  <a:gs pos="100000">
                    <a:srgbClr val="704F97"/>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62E8-A640-B792-A6EE413D103E}"/>
              </c:ext>
            </c:extLst>
          </c:dPt>
          <c:dPt>
            <c:idx val="4"/>
            <c:invertIfNegative val="0"/>
            <c:bubble3D val="0"/>
            <c:spPr>
              <a:gradFill rotWithShape="0">
                <a:gsLst>
                  <a:gs pos="0">
                    <a:srgbClr val="9DE2FF"/>
                  </a:gs>
                  <a:gs pos="100000">
                    <a:srgbClr val="31A1C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62E8-A640-B792-A6EE413D103E}"/>
              </c:ext>
            </c:extLst>
          </c:dPt>
          <c:dPt>
            <c:idx val="5"/>
            <c:invertIfNegative val="0"/>
            <c:bubble3D val="0"/>
            <c:spPr>
              <a:gradFill rotWithShape="0">
                <a:gsLst>
                  <a:gs pos="0">
                    <a:srgbClr val="FFB885"/>
                  </a:gs>
                  <a:gs pos="100000">
                    <a:srgbClr val="F28225"/>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62E8-A640-B792-A6EE413D103E}"/>
              </c:ext>
            </c:extLst>
          </c:dPt>
          <c:dPt>
            <c:idx val="6"/>
            <c:invertIfNegative val="0"/>
            <c:bubble3D val="0"/>
            <c:spPr>
              <a:gradFill rotWithShape="0">
                <a:gsLst>
                  <a:gs pos="0">
                    <a:srgbClr val="B6D1FF"/>
                  </a:gs>
                  <a:gs pos="100000">
                    <a:srgbClr val="8AA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6-62E8-A640-B792-A6EE413D103E}"/>
              </c:ext>
            </c:extLst>
          </c:dPt>
          <c:dPt>
            <c:idx val="7"/>
            <c:invertIfNegative val="0"/>
            <c:bubble3D val="0"/>
            <c:spPr>
              <a:gradFill rotWithShape="0">
                <a:gsLst>
                  <a:gs pos="0">
                    <a:srgbClr val="FFB6B4"/>
                  </a:gs>
                  <a:gs pos="100000">
                    <a:srgbClr val="DA8A8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62E8-A640-B792-A6EE413D103E}"/>
              </c:ext>
            </c:extLst>
          </c:dPt>
          <c:dPt>
            <c:idx val="8"/>
            <c:invertIfNegative val="0"/>
            <c:bubble3D val="0"/>
            <c:spPr>
              <a:gradFill rotWithShape="0">
                <a:gsLst>
                  <a:gs pos="0">
                    <a:srgbClr val="E4FFBA"/>
                  </a:gs>
                  <a:gs pos="100000">
                    <a:srgbClr val="BBD68E"/>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62E8-A640-B792-A6EE413D103E}"/>
              </c:ext>
            </c:extLst>
          </c:dPt>
          <c:dPt>
            <c:idx val="9"/>
            <c:invertIfNegative val="0"/>
            <c:bubble3D val="0"/>
            <c:spPr>
              <a:gradFill rotWithShape="0">
                <a:gsLst>
                  <a:gs pos="0">
                    <a:srgbClr val="D6C5F1"/>
                  </a:gs>
                  <a:gs pos="100000">
                    <a:srgbClr val="A896C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62E8-A640-B792-A6EE413D103E}"/>
              </c:ext>
            </c:extLst>
          </c:dPt>
          <c:dPt>
            <c:idx val="10"/>
            <c:invertIfNegative val="0"/>
            <c:bubble3D val="0"/>
            <c:spPr>
              <a:gradFill rotWithShape="0">
                <a:gsLst>
                  <a:gs pos="0">
                    <a:srgbClr val="B2F1FF"/>
                  </a:gs>
                  <a:gs pos="100000">
                    <a:srgbClr val="87C8DF"/>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62E8-A640-B792-A6EE413D103E}"/>
              </c:ext>
            </c:extLst>
          </c:dPt>
          <c:cat>
            <c:strRef>
              <c:f>'Data Reduction Engine'!$B$864:$B$874</c:f>
              <c:strCache>
                <c:ptCount val="11"/>
                <c:pt idx="0">
                  <c:v>(206/205)m</c:v>
                </c:pt>
                <c:pt idx="1">
                  <c:v>(207/206)m</c:v>
                </c:pt>
                <c:pt idx="2">
                  <c:v>(204/206)m</c:v>
                </c:pt>
                <c:pt idx="3">
                  <c:v>FPb</c:v>
                </c:pt>
                <c:pt idx="4">
                  <c:v>206Pb blank</c:v>
                </c:pt>
                <c:pt idx="5">
                  <c:v>(206/204)b</c:v>
                </c:pt>
                <c:pt idx="6">
                  <c:v>(207/206)c</c:v>
                </c:pt>
                <c:pt idx="7">
                  <c:v>(206/204)c</c:v>
                </c:pt>
                <c:pt idx="8">
                  <c:v>(206/205)t</c:v>
                </c:pt>
                <c:pt idx="9">
                  <c:v>(207/206)t</c:v>
                </c:pt>
                <c:pt idx="10">
                  <c:v>(204/205)t</c:v>
                </c:pt>
              </c:strCache>
            </c:strRef>
          </c:cat>
          <c:val>
            <c:numRef>
              <c:f>'Data Reduction Engine'!$I$864:$I$874</c:f>
              <c:numCache>
                <c:formatCode>0.00%</c:formatCode>
                <c:ptCount val="11"/>
                <c:pt idx="0">
                  <c:v>6.6065863987623841E-7</c:v>
                </c:pt>
                <c:pt idx="1">
                  <c:v>0.45709381837119784</c:v>
                </c:pt>
                <c:pt idx="2">
                  <c:v>0.16901578418143262</c:v>
                </c:pt>
                <c:pt idx="3">
                  <c:v>0.1077454428952606</c:v>
                </c:pt>
                <c:pt idx="4">
                  <c:v>6.5563523031856479E-4</c:v>
                </c:pt>
                <c:pt idx="5">
                  <c:v>2.2193607010861375E-2</c:v>
                </c:pt>
                <c:pt idx="6">
                  <c:v>0.2310765448913833</c:v>
                </c:pt>
                <c:pt idx="7">
                  <c:v>1.1965779360864759E-2</c:v>
                </c:pt>
                <c:pt idx="8">
                  <c:v>1.0020241988909895E-5</c:v>
                </c:pt>
                <c:pt idx="9">
                  <c:v>2.034512599287593E-11</c:v>
                </c:pt>
                <c:pt idx="10">
                  <c:v>2.4270713770732939E-4</c:v>
                </c:pt>
              </c:numCache>
            </c:numRef>
          </c:val>
          <c:extLst>
            <c:ext xmlns:c16="http://schemas.microsoft.com/office/drawing/2014/chart" uri="{C3380CC4-5D6E-409C-BE32-E72D297353CC}">
              <c16:uniqueId val="{0000000B-62E8-A640-B792-A6EE413D103E}"/>
            </c:ext>
          </c:extLst>
        </c:ser>
        <c:dLbls>
          <c:showLegendKey val="0"/>
          <c:showVal val="0"/>
          <c:showCatName val="0"/>
          <c:showSerName val="0"/>
          <c:showPercent val="0"/>
          <c:showBubbleSize val="0"/>
        </c:dLbls>
        <c:gapWidth val="0"/>
        <c:axId val="1052180576"/>
        <c:axId val="1"/>
      </c:barChart>
      <c:catAx>
        <c:axId val="1052180576"/>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521805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8876896485500305"/>
          <c:y val="0.15778546712802805"/>
          <c:w val="0.76535740349529513"/>
          <c:h val="0.59972318339100306"/>
        </c:manualLayout>
      </c:layout>
      <c:barChart>
        <c:barDir val="col"/>
        <c:grouping val="clustered"/>
        <c:varyColors val="1"/>
        <c:ser>
          <c:idx val="0"/>
          <c:order val="0"/>
          <c:tx>
            <c:strRef>
              <c:f>'Data Reduction Engine'!$J$5</c:f>
              <c:strCache>
                <c:ptCount val="1"/>
                <c:pt idx="0">
                  <c:v>15WZ1-2 t7</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5BFF0"/>
                  </a:gs>
                  <a:gs pos="100000">
                    <a:srgbClr val="3268A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4754-C04B-8368-7EFD4ECA880E}"/>
              </c:ext>
            </c:extLst>
          </c:dPt>
          <c:dPt>
            <c:idx val="1"/>
            <c:invertIfNegative val="0"/>
            <c:bubble3D val="0"/>
            <c:spPr>
              <a:gradFill rotWithShape="0">
                <a:gsLst>
                  <a:gs pos="0">
                    <a:srgbClr val="F2A5A4"/>
                  </a:gs>
                  <a:gs pos="100000">
                    <a:srgbClr val="AD333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4754-C04B-8368-7EFD4ECA880E}"/>
              </c:ext>
            </c:extLst>
          </c:dPt>
          <c:dPt>
            <c:idx val="2"/>
            <c:invertIfNegative val="0"/>
            <c:bubble3D val="0"/>
            <c:spPr>
              <a:gradFill rotWithShape="0">
                <a:gsLst>
                  <a:gs pos="0">
                    <a:srgbClr val="D1EDA8"/>
                  </a:gs>
                  <a:gs pos="100000">
                    <a:srgbClr val="83A6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4754-C04B-8368-7EFD4ECA880E}"/>
              </c:ext>
            </c:extLst>
          </c:dPt>
          <c:dPt>
            <c:idx val="3"/>
            <c:invertIfNegative val="0"/>
            <c:bubble3D val="0"/>
            <c:spPr>
              <a:gradFill rotWithShape="0">
                <a:gsLst>
                  <a:gs pos="0">
                    <a:srgbClr val="C4B4DD"/>
                  </a:gs>
                  <a:gs pos="100000">
                    <a:srgbClr val="68498D"/>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4754-C04B-8368-7EFD4ECA880E}"/>
              </c:ext>
            </c:extLst>
          </c:dPt>
          <c:dPt>
            <c:idx val="4"/>
            <c:invertIfNegative val="0"/>
            <c:bubble3D val="0"/>
            <c:spPr>
              <a:gradFill rotWithShape="0">
                <a:gsLst>
                  <a:gs pos="0">
                    <a:srgbClr val="A1DDF6"/>
                  </a:gs>
                  <a:gs pos="100000">
                    <a:srgbClr val="2D96B3"/>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4754-C04B-8368-7EFD4ECA880E}"/>
              </c:ext>
            </c:extLst>
          </c:dPt>
          <c:dPt>
            <c:idx val="5"/>
            <c:invertIfNegative val="0"/>
            <c:bubble3D val="0"/>
            <c:spPr>
              <a:gradFill rotWithShape="0">
                <a:gsLst>
                  <a:gs pos="0">
                    <a:srgbClr val="FFB88C"/>
                  </a:gs>
                  <a:gs pos="100000">
                    <a:srgbClr val="E2792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4754-C04B-8368-7EFD4ECA880E}"/>
              </c:ext>
            </c:extLst>
          </c:dPt>
          <c:dPt>
            <c:idx val="6"/>
            <c:invertIfNegative val="0"/>
            <c:bubble3D val="0"/>
            <c:extLst>
              <c:ext xmlns:c16="http://schemas.microsoft.com/office/drawing/2014/chart" uri="{C3380CC4-5D6E-409C-BE32-E72D297353CC}">
                <c16:uniqueId val="{00000006-4754-C04B-8368-7EFD4ECA880E}"/>
              </c:ext>
            </c:extLst>
          </c:dPt>
          <c:dPt>
            <c:idx val="7"/>
            <c:invertIfNegative val="0"/>
            <c:bubble3D val="0"/>
            <c:spPr>
              <a:gradFill rotWithShape="0">
                <a:gsLst>
                  <a:gs pos="0">
                    <a:srgbClr val="FF9A99"/>
                  </a:gs>
                  <a:gs pos="100000">
                    <a:srgbClr val="D140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4754-C04B-8368-7EFD4ECA880E}"/>
              </c:ext>
            </c:extLst>
          </c:dPt>
          <c:dPt>
            <c:idx val="8"/>
            <c:invertIfNegative val="0"/>
            <c:bubble3D val="0"/>
            <c:spPr>
              <a:gradFill rotWithShape="0">
                <a:gsLst>
                  <a:gs pos="0">
                    <a:srgbClr val="DCFFA0"/>
                  </a:gs>
                  <a:gs pos="100000">
                    <a:srgbClr val="A0CA4A"/>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4754-C04B-8368-7EFD4ECA880E}"/>
              </c:ext>
            </c:extLst>
          </c:dPt>
          <c:dPt>
            <c:idx val="9"/>
            <c:invertIfNegative val="0"/>
            <c:bubble3D val="0"/>
            <c:spPr>
              <a:gradFill rotWithShape="0">
                <a:gsLst>
                  <a:gs pos="0">
                    <a:srgbClr val="C8B0ED"/>
                  </a:gs>
                  <a:gs pos="100000">
                    <a:srgbClr val="7F5BA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4754-C04B-8368-7EFD4ECA880E}"/>
              </c:ext>
            </c:extLst>
          </c:dPt>
          <c:dPt>
            <c:idx val="10"/>
            <c:invertIfNegative val="0"/>
            <c:bubble3D val="0"/>
            <c:spPr>
              <a:gradFill rotWithShape="0">
                <a:gsLst>
                  <a:gs pos="0">
                    <a:srgbClr val="95EEFF"/>
                  </a:gs>
                  <a:gs pos="100000">
                    <a:srgbClr val="39B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4754-C04B-8368-7EFD4ECA880E}"/>
              </c:ext>
            </c:extLst>
          </c:dPt>
          <c:dPt>
            <c:idx val="11"/>
            <c:invertIfNegative val="0"/>
            <c:bubble3D val="0"/>
            <c:spPr>
              <a:gradFill rotWithShape="0">
                <a:gsLst>
                  <a:gs pos="0">
                    <a:srgbClr val="FFB977"/>
                  </a:gs>
                  <a:gs pos="100000">
                    <a:srgbClr val="FF932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B-4754-C04B-8368-7EFD4ECA880E}"/>
              </c:ext>
            </c:extLst>
          </c:dPt>
          <c:cat>
            <c:strRef>
              <c:f>'Data Reduction Engine'!$B$838:$B$849</c:f>
              <c:strCache>
                <c:ptCount val="12"/>
                <c:pt idx="0">
                  <c:v>(206/205)m</c:v>
                </c:pt>
                <c:pt idx="1">
                  <c:v>(204/206)m</c:v>
                </c:pt>
                <c:pt idx="2">
                  <c:v>FPb</c:v>
                </c:pt>
                <c:pt idx="3">
                  <c:v>206Pb blank</c:v>
                </c:pt>
                <c:pt idx="4">
                  <c:v>(206/204)b</c:v>
                </c:pt>
                <c:pt idx="5">
                  <c:v>(206/204)c</c:v>
                </c:pt>
                <c:pt idx="6">
                  <c:v>(238/235)m</c:v>
                </c:pt>
                <c:pt idx="7">
                  <c:v>FU</c:v>
                </c:pt>
                <c:pt idx="8">
                  <c:v>238U blank</c:v>
                </c:pt>
                <c:pt idx="9">
                  <c:v>(Th/U)zircon</c:v>
                </c:pt>
                <c:pt idx="10">
                  <c:v>(Th/U)magma</c:v>
                </c:pt>
                <c:pt idx="11">
                  <c:v>(Th/U)initial</c:v>
                </c:pt>
              </c:strCache>
            </c:strRef>
          </c:cat>
          <c:val>
            <c:numRef>
              <c:f>'Data Reduction Engine'!$J$838:$J$849</c:f>
              <c:numCache>
                <c:formatCode>0.00%</c:formatCode>
                <c:ptCount val="12"/>
                <c:pt idx="0">
                  <c:v>1.0670600204437817E-4</c:v>
                </c:pt>
                <c:pt idx="1">
                  <c:v>1.6213704630498274E-2</c:v>
                </c:pt>
                <c:pt idx="2">
                  <c:v>1.5657827630102143E-2</c:v>
                </c:pt>
                <c:pt idx="3">
                  <c:v>7.9586462657757987E-3</c:v>
                </c:pt>
                <c:pt idx="4">
                  <c:v>5.8059106888925342E-3</c:v>
                </c:pt>
                <c:pt idx="5">
                  <c:v>0.94623820690165439</c:v>
                </c:pt>
                <c:pt idx="6">
                  <c:v>7.393562854664402E-3</c:v>
                </c:pt>
                <c:pt idx="7">
                  <c:v>1.2790966602328554E-4</c:v>
                </c:pt>
                <c:pt idx="8">
                  <c:v>4.87639615883514E-4</c:v>
                </c:pt>
                <c:pt idx="9">
                  <c:v>7.6070095596391539E-6</c:v>
                </c:pt>
                <c:pt idx="10">
                  <c:v>2.0905824786519923E-6</c:v>
                </c:pt>
                <c:pt idx="11">
                  <c:v>1.8815242307867936E-7</c:v>
                </c:pt>
              </c:numCache>
            </c:numRef>
          </c:val>
          <c:extLst>
            <c:ext xmlns:c16="http://schemas.microsoft.com/office/drawing/2014/chart" uri="{C3380CC4-5D6E-409C-BE32-E72D297353CC}">
              <c16:uniqueId val="{0000000C-4754-C04B-8368-7EFD4ECA880E}"/>
            </c:ext>
          </c:extLst>
        </c:ser>
        <c:dLbls>
          <c:showLegendKey val="0"/>
          <c:showVal val="0"/>
          <c:showCatName val="0"/>
          <c:showSerName val="0"/>
          <c:showPercent val="0"/>
          <c:showBubbleSize val="0"/>
        </c:dLbls>
        <c:gapWidth val="0"/>
        <c:axId val="1052611760"/>
        <c:axId val="1"/>
      </c:barChart>
      <c:catAx>
        <c:axId val="1052611760"/>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526117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5225657768388698"/>
          <c:y val="0.15833333333333305"/>
          <c:w val="0.68669982715575228"/>
          <c:h val="0.64123496281714798"/>
        </c:manualLayout>
      </c:layout>
      <c:barChart>
        <c:barDir val="col"/>
        <c:grouping val="clustered"/>
        <c:varyColors val="1"/>
        <c:ser>
          <c:idx val="0"/>
          <c:order val="0"/>
          <c:tx>
            <c:strRef>
              <c:f>'Data Reduction Engine'!$J$5</c:f>
              <c:strCache>
                <c:ptCount val="1"/>
                <c:pt idx="0">
                  <c:v>15WZ1-2 t7</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2BFF8"/>
                  </a:gs>
                  <a:gs pos="100000">
                    <a:srgbClr val="3670B6"/>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6005-5C4A-8B5A-830246B523D6}"/>
              </c:ext>
            </c:extLst>
          </c:dPt>
          <c:dPt>
            <c:idx val="1"/>
            <c:invertIfNegative val="0"/>
            <c:bubble3D val="0"/>
            <c:spPr>
              <a:gradFill rotWithShape="0">
                <a:gsLst>
                  <a:gs pos="0">
                    <a:srgbClr val="FAA1A0"/>
                  </a:gs>
                  <a:gs pos="100000">
                    <a:srgbClr val="B93734"/>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6005-5C4A-8B5A-830246B523D6}"/>
              </c:ext>
            </c:extLst>
          </c:dPt>
          <c:dPt>
            <c:idx val="2"/>
            <c:invertIfNegative val="0"/>
            <c:bubble3D val="0"/>
            <c:spPr>
              <a:gradFill rotWithShape="0">
                <a:gsLst>
                  <a:gs pos="0">
                    <a:srgbClr val="D4F4A6"/>
                  </a:gs>
                  <a:gs pos="100000">
                    <a:srgbClr val="8DB241"/>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6005-5C4A-8B5A-830246B523D6}"/>
              </c:ext>
            </c:extLst>
          </c:dPt>
          <c:dPt>
            <c:idx val="3"/>
            <c:invertIfNegative val="0"/>
            <c:bubble3D val="0"/>
            <c:spPr>
              <a:gradFill rotWithShape="0">
                <a:gsLst>
                  <a:gs pos="0">
                    <a:srgbClr val="C5B3E2"/>
                  </a:gs>
                  <a:gs pos="100000">
                    <a:srgbClr val="704F97"/>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6005-5C4A-8B5A-830246B523D6}"/>
              </c:ext>
            </c:extLst>
          </c:dPt>
          <c:dPt>
            <c:idx val="4"/>
            <c:invertIfNegative val="0"/>
            <c:bubble3D val="0"/>
            <c:spPr>
              <a:gradFill rotWithShape="0">
                <a:gsLst>
                  <a:gs pos="0">
                    <a:srgbClr val="9DE2FF"/>
                  </a:gs>
                  <a:gs pos="100000">
                    <a:srgbClr val="31A1C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6005-5C4A-8B5A-830246B523D6}"/>
              </c:ext>
            </c:extLst>
          </c:dPt>
          <c:dPt>
            <c:idx val="5"/>
            <c:invertIfNegative val="0"/>
            <c:bubble3D val="0"/>
            <c:spPr>
              <a:gradFill rotWithShape="0">
                <a:gsLst>
                  <a:gs pos="0">
                    <a:srgbClr val="FFB885"/>
                  </a:gs>
                  <a:gs pos="100000">
                    <a:srgbClr val="F28225"/>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6005-5C4A-8B5A-830246B523D6}"/>
              </c:ext>
            </c:extLst>
          </c:dPt>
          <c:dPt>
            <c:idx val="6"/>
            <c:invertIfNegative val="0"/>
            <c:bubble3D val="0"/>
            <c:spPr>
              <a:gradFill rotWithShape="0">
                <a:gsLst>
                  <a:gs pos="0">
                    <a:srgbClr val="B6D1FF"/>
                  </a:gs>
                  <a:gs pos="100000">
                    <a:srgbClr val="8AA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6-6005-5C4A-8B5A-830246B523D6}"/>
              </c:ext>
            </c:extLst>
          </c:dPt>
          <c:dPt>
            <c:idx val="7"/>
            <c:invertIfNegative val="0"/>
            <c:bubble3D val="0"/>
            <c:spPr>
              <a:gradFill rotWithShape="0">
                <a:gsLst>
                  <a:gs pos="0">
                    <a:srgbClr val="FFB6B4"/>
                  </a:gs>
                  <a:gs pos="100000">
                    <a:srgbClr val="DA8A8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6005-5C4A-8B5A-830246B523D6}"/>
              </c:ext>
            </c:extLst>
          </c:dPt>
          <c:dPt>
            <c:idx val="8"/>
            <c:invertIfNegative val="0"/>
            <c:bubble3D val="0"/>
            <c:spPr>
              <a:gradFill rotWithShape="0">
                <a:gsLst>
                  <a:gs pos="0">
                    <a:srgbClr val="E4FFBA"/>
                  </a:gs>
                  <a:gs pos="100000">
                    <a:srgbClr val="BBD68E"/>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6005-5C4A-8B5A-830246B523D6}"/>
              </c:ext>
            </c:extLst>
          </c:dPt>
          <c:dPt>
            <c:idx val="9"/>
            <c:invertIfNegative val="0"/>
            <c:bubble3D val="0"/>
            <c:spPr>
              <a:gradFill rotWithShape="0">
                <a:gsLst>
                  <a:gs pos="0">
                    <a:srgbClr val="D6C5F1"/>
                  </a:gs>
                  <a:gs pos="100000">
                    <a:srgbClr val="A896C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6005-5C4A-8B5A-830246B523D6}"/>
              </c:ext>
            </c:extLst>
          </c:dPt>
          <c:dPt>
            <c:idx val="10"/>
            <c:invertIfNegative val="0"/>
            <c:bubble3D val="0"/>
            <c:spPr>
              <a:gradFill rotWithShape="0">
                <a:gsLst>
                  <a:gs pos="0">
                    <a:srgbClr val="B2F1FF"/>
                  </a:gs>
                  <a:gs pos="100000">
                    <a:srgbClr val="87C8DF"/>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6005-5C4A-8B5A-830246B523D6}"/>
              </c:ext>
            </c:extLst>
          </c:dPt>
          <c:cat>
            <c:strRef>
              <c:f>'Data Reduction Engine'!$B$864:$B$874</c:f>
              <c:strCache>
                <c:ptCount val="11"/>
                <c:pt idx="0">
                  <c:v>(206/205)m</c:v>
                </c:pt>
                <c:pt idx="1">
                  <c:v>(207/206)m</c:v>
                </c:pt>
                <c:pt idx="2">
                  <c:v>(204/206)m</c:v>
                </c:pt>
                <c:pt idx="3">
                  <c:v>FPb</c:v>
                </c:pt>
                <c:pt idx="4">
                  <c:v>206Pb blank</c:v>
                </c:pt>
                <c:pt idx="5">
                  <c:v>(206/204)b</c:v>
                </c:pt>
                <c:pt idx="6">
                  <c:v>(207/206)c</c:v>
                </c:pt>
                <c:pt idx="7">
                  <c:v>(206/204)c</c:v>
                </c:pt>
                <c:pt idx="8">
                  <c:v>(206/205)t</c:v>
                </c:pt>
                <c:pt idx="9">
                  <c:v>(207/206)t</c:v>
                </c:pt>
                <c:pt idx="10">
                  <c:v>(204/205)t</c:v>
                </c:pt>
              </c:strCache>
            </c:strRef>
          </c:cat>
          <c:val>
            <c:numRef>
              <c:f>'Data Reduction Engine'!$J$864:$J$874</c:f>
              <c:numCache>
                <c:formatCode>0.00%</c:formatCode>
                <c:ptCount val="11"/>
                <c:pt idx="0">
                  <c:v>4.0169915459923892E-7</c:v>
                </c:pt>
                <c:pt idx="1">
                  <c:v>0.35999734231808839</c:v>
                </c:pt>
                <c:pt idx="2">
                  <c:v>8.9967247264560068E-2</c:v>
                </c:pt>
                <c:pt idx="3">
                  <c:v>0.15572416059167368</c:v>
                </c:pt>
                <c:pt idx="4">
                  <c:v>8.1869190091054438E-4</c:v>
                </c:pt>
                <c:pt idx="5">
                  <c:v>3.2216067484109247E-2</c:v>
                </c:pt>
                <c:pt idx="6">
                  <c:v>0.33511560010995511</c:v>
                </c:pt>
                <c:pt idx="7">
                  <c:v>2.5702835520746495E-2</c:v>
                </c:pt>
                <c:pt idx="8">
                  <c:v>1.8169511379770301E-5</c:v>
                </c:pt>
                <c:pt idx="9">
                  <c:v>3.7765118801561267E-11</c:v>
                </c:pt>
                <c:pt idx="10">
                  <c:v>4.3948356165695283E-4</c:v>
                </c:pt>
              </c:numCache>
            </c:numRef>
          </c:val>
          <c:extLst>
            <c:ext xmlns:c16="http://schemas.microsoft.com/office/drawing/2014/chart" uri="{C3380CC4-5D6E-409C-BE32-E72D297353CC}">
              <c16:uniqueId val="{0000000B-6005-5C4A-8B5A-830246B523D6}"/>
            </c:ext>
          </c:extLst>
        </c:ser>
        <c:dLbls>
          <c:showLegendKey val="0"/>
          <c:showVal val="0"/>
          <c:showCatName val="0"/>
          <c:showSerName val="0"/>
          <c:showPercent val="0"/>
          <c:showBubbleSize val="0"/>
        </c:dLbls>
        <c:gapWidth val="0"/>
        <c:axId val="1052639776"/>
        <c:axId val="1"/>
      </c:barChart>
      <c:catAx>
        <c:axId val="1052639776"/>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526397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8876896485500305"/>
          <c:y val="0.15778546712802805"/>
          <c:w val="0.76535740349529513"/>
          <c:h val="0.59972318339100306"/>
        </c:manualLayout>
      </c:layout>
      <c:barChart>
        <c:barDir val="col"/>
        <c:grouping val="clustered"/>
        <c:varyColors val="1"/>
        <c:ser>
          <c:idx val="0"/>
          <c:order val="0"/>
          <c:tx>
            <c:strRef>
              <c:f>'Data Reduction Engine'!$K$5</c:f>
              <c:strCache>
                <c:ptCount val="1"/>
                <c:pt idx="0">
                  <c:v>z1a</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5BFF0"/>
                  </a:gs>
                  <a:gs pos="100000">
                    <a:srgbClr val="3268A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4358-7040-90EA-99F4A1C90E23}"/>
              </c:ext>
            </c:extLst>
          </c:dPt>
          <c:dPt>
            <c:idx val="1"/>
            <c:invertIfNegative val="0"/>
            <c:bubble3D val="0"/>
            <c:spPr>
              <a:gradFill rotWithShape="0">
                <a:gsLst>
                  <a:gs pos="0">
                    <a:srgbClr val="F2A5A4"/>
                  </a:gs>
                  <a:gs pos="100000">
                    <a:srgbClr val="AD333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4358-7040-90EA-99F4A1C90E23}"/>
              </c:ext>
            </c:extLst>
          </c:dPt>
          <c:dPt>
            <c:idx val="2"/>
            <c:invertIfNegative val="0"/>
            <c:bubble3D val="0"/>
            <c:spPr>
              <a:gradFill rotWithShape="0">
                <a:gsLst>
                  <a:gs pos="0">
                    <a:srgbClr val="D1EDA8"/>
                  </a:gs>
                  <a:gs pos="100000">
                    <a:srgbClr val="83A6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4358-7040-90EA-99F4A1C90E23}"/>
              </c:ext>
            </c:extLst>
          </c:dPt>
          <c:dPt>
            <c:idx val="3"/>
            <c:invertIfNegative val="0"/>
            <c:bubble3D val="0"/>
            <c:spPr>
              <a:gradFill rotWithShape="0">
                <a:gsLst>
                  <a:gs pos="0">
                    <a:srgbClr val="C4B4DD"/>
                  </a:gs>
                  <a:gs pos="100000">
                    <a:srgbClr val="68498D"/>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4358-7040-90EA-99F4A1C90E23}"/>
              </c:ext>
            </c:extLst>
          </c:dPt>
          <c:dPt>
            <c:idx val="4"/>
            <c:invertIfNegative val="0"/>
            <c:bubble3D val="0"/>
            <c:spPr>
              <a:gradFill rotWithShape="0">
                <a:gsLst>
                  <a:gs pos="0">
                    <a:srgbClr val="A1DDF6"/>
                  </a:gs>
                  <a:gs pos="100000">
                    <a:srgbClr val="2D96B3"/>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4358-7040-90EA-99F4A1C90E23}"/>
              </c:ext>
            </c:extLst>
          </c:dPt>
          <c:dPt>
            <c:idx val="5"/>
            <c:invertIfNegative val="0"/>
            <c:bubble3D val="0"/>
            <c:spPr>
              <a:gradFill rotWithShape="0">
                <a:gsLst>
                  <a:gs pos="0">
                    <a:srgbClr val="FFB88C"/>
                  </a:gs>
                  <a:gs pos="100000">
                    <a:srgbClr val="E2792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4358-7040-90EA-99F4A1C90E23}"/>
              </c:ext>
            </c:extLst>
          </c:dPt>
          <c:dPt>
            <c:idx val="6"/>
            <c:invertIfNegative val="0"/>
            <c:bubble3D val="0"/>
            <c:extLst>
              <c:ext xmlns:c16="http://schemas.microsoft.com/office/drawing/2014/chart" uri="{C3380CC4-5D6E-409C-BE32-E72D297353CC}">
                <c16:uniqueId val="{00000006-4358-7040-90EA-99F4A1C90E23}"/>
              </c:ext>
            </c:extLst>
          </c:dPt>
          <c:dPt>
            <c:idx val="7"/>
            <c:invertIfNegative val="0"/>
            <c:bubble3D val="0"/>
            <c:spPr>
              <a:gradFill rotWithShape="0">
                <a:gsLst>
                  <a:gs pos="0">
                    <a:srgbClr val="FF9A99"/>
                  </a:gs>
                  <a:gs pos="100000">
                    <a:srgbClr val="D140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4358-7040-90EA-99F4A1C90E23}"/>
              </c:ext>
            </c:extLst>
          </c:dPt>
          <c:dPt>
            <c:idx val="8"/>
            <c:invertIfNegative val="0"/>
            <c:bubble3D val="0"/>
            <c:spPr>
              <a:gradFill rotWithShape="0">
                <a:gsLst>
                  <a:gs pos="0">
                    <a:srgbClr val="DCFFA0"/>
                  </a:gs>
                  <a:gs pos="100000">
                    <a:srgbClr val="A0CA4A"/>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4358-7040-90EA-99F4A1C90E23}"/>
              </c:ext>
            </c:extLst>
          </c:dPt>
          <c:dPt>
            <c:idx val="9"/>
            <c:invertIfNegative val="0"/>
            <c:bubble3D val="0"/>
            <c:spPr>
              <a:gradFill rotWithShape="0">
                <a:gsLst>
                  <a:gs pos="0">
                    <a:srgbClr val="C8B0ED"/>
                  </a:gs>
                  <a:gs pos="100000">
                    <a:srgbClr val="7F5BA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4358-7040-90EA-99F4A1C90E23}"/>
              </c:ext>
            </c:extLst>
          </c:dPt>
          <c:dPt>
            <c:idx val="10"/>
            <c:invertIfNegative val="0"/>
            <c:bubble3D val="0"/>
            <c:spPr>
              <a:gradFill rotWithShape="0">
                <a:gsLst>
                  <a:gs pos="0">
                    <a:srgbClr val="95EEFF"/>
                  </a:gs>
                  <a:gs pos="100000">
                    <a:srgbClr val="39B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4358-7040-90EA-99F4A1C90E23}"/>
              </c:ext>
            </c:extLst>
          </c:dPt>
          <c:dPt>
            <c:idx val="11"/>
            <c:invertIfNegative val="0"/>
            <c:bubble3D val="0"/>
            <c:spPr>
              <a:gradFill rotWithShape="0">
                <a:gsLst>
                  <a:gs pos="0">
                    <a:srgbClr val="FFB977"/>
                  </a:gs>
                  <a:gs pos="100000">
                    <a:srgbClr val="FF932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B-4358-7040-90EA-99F4A1C90E23}"/>
              </c:ext>
            </c:extLst>
          </c:dPt>
          <c:cat>
            <c:strRef>
              <c:f>'Data Reduction Engine'!$B$838:$B$849</c:f>
              <c:strCache>
                <c:ptCount val="12"/>
                <c:pt idx="0">
                  <c:v>(206/205)m</c:v>
                </c:pt>
                <c:pt idx="1">
                  <c:v>(204/206)m</c:v>
                </c:pt>
                <c:pt idx="2">
                  <c:v>FPb</c:v>
                </c:pt>
                <c:pt idx="3">
                  <c:v>206Pb blank</c:v>
                </c:pt>
                <c:pt idx="4">
                  <c:v>(206/204)b</c:v>
                </c:pt>
                <c:pt idx="5">
                  <c:v>(206/204)c</c:v>
                </c:pt>
                <c:pt idx="6">
                  <c:v>(238/235)m</c:v>
                </c:pt>
                <c:pt idx="7">
                  <c:v>FU</c:v>
                </c:pt>
                <c:pt idx="8">
                  <c:v>238U blank</c:v>
                </c:pt>
                <c:pt idx="9">
                  <c:v>(Th/U)zircon</c:v>
                </c:pt>
                <c:pt idx="10">
                  <c:v>(Th/U)magma</c:v>
                </c:pt>
                <c:pt idx="11">
                  <c:v>(Th/U)initial</c:v>
                </c:pt>
              </c:strCache>
            </c:strRef>
          </c:cat>
          <c:val>
            <c:numRef>
              <c:f>'Data Reduction Engine'!$K$838:$K$849</c:f>
              <c:numCache>
                <c:formatCode>0.00%</c:formatCode>
                <c:ptCount val="12"/>
                <c:pt idx="0">
                  <c:v>3.3787022136051718E-2</c:v>
                </c:pt>
                <c:pt idx="1">
                  <c:v>3.0133804954564671E-3</c:v>
                </c:pt>
                <c:pt idx="2">
                  <c:v>0.79678402627489908</c:v>
                </c:pt>
                <c:pt idx="3">
                  <c:v>1.4276745399252472E-2</c:v>
                </c:pt>
                <c:pt idx="4">
                  <c:v>1.0415026117263589E-2</c:v>
                </c:pt>
                <c:pt idx="5">
                  <c:v>9.9999999999999995E-7</c:v>
                </c:pt>
                <c:pt idx="6">
                  <c:v>8.2514171583618467E-3</c:v>
                </c:pt>
                <c:pt idx="7">
                  <c:v>7.0938866335088141E-2</c:v>
                </c:pt>
                <c:pt idx="8">
                  <c:v>4.8548219281514788E-4</c:v>
                </c:pt>
                <c:pt idx="9">
                  <c:v>4.1982609638481426E-6</c:v>
                </c:pt>
                <c:pt idx="10">
                  <c:v>5.692095011912638E-2</c:v>
                </c:pt>
                <c:pt idx="11">
                  <c:v>5.1228855107213755E-3</c:v>
                </c:pt>
              </c:numCache>
            </c:numRef>
          </c:val>
          <c:extLst>
            <c:ext xmlns:c16="http://schemas.microsoft.com/office/drawing/2014/chart" uri="{C3380CC4-5D6E-409C-BE32-E72D297353CC}">
              <c16:uniqueId val="{0000000C-4358-7040-90EA-99F4A1C90E23}"/>
            </c:ext>
          </c:extLst>
        </c:ser>
        <c:dLbls>
          <c:showLegendKey val="0"/>
          <c:showVal val="0"/>
          <c:showCatName val="0"/>
          <c:showSerName val="0"/>
          <c:showPercent val="0"/>
          <c:showBubbleSize val="0"/>
        </c:dLbls>
        <c:gapWidth val="0"/>
        <c:axId val="1052255184"/>
        <c:axId val="1"/>
      </c:barChart>
      <c:catAx>
        <c:axId val="1052255184"/>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522551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5225657768388698"/>
          <c:y val="0.15833333333333305"/>
          <c:w val="0.68669982715575228"/>
          <c:h val="0.64123496281714798"/>
        </c:manualLayout>
      </c:layout>
      <c:barChart>
        <c:barDir val="col"/>
        <c:grouping val="clustered"/>
        <c:varyColors val="1"/>
        <c:ser>
          <c:idx val="0"/>
          <c:order val="0"/>
          <c:tx>
            <c:strRef>
              <c:f>'Data Reduction Engine'!$K$5</c:f>
              <c:strCache>
                <c:ptCount val="1"/>
                <c:pt idx="0">
                  <c:v>z1a</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2BFF8"/>
                  </a:gs>
                  <a:gs pos="100000">
                    <a:srgbClr val="3670B6"/>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EAAC-884F-8000-B1E5C811F453}"/>
              </c:ext>
            </c:extLst>
          </c:dPt>
          <c:dPt>
            <c:idx val="1"/>
            <c:invertIfNegative val="0"/>
            <c:bubble3D val="0"/>
            <c:spPr>
              <a:gradFill rotWithShape="0">
                <a:gsLst>
                  <a:gs pos="0">
                    <a:srgbClr val="FAA1A0"/>
                  </a:gs>
                  <a:gs pos="100000">
                    <a:srgbClr val="B93734"/>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EAAC-884F-8000-B1E5C811F453}"/>
              </c:ext>
            </c:extLst>
          </c:dPt>
          <c:dPt>
            <c:idx val="2"/>
            <c:invertIfNegative val="0"/>
            <c:bubble3D val="0"/>
            <c:spPr>
              <a:gradFill rotWithShape="0">
                <a:gsLst>
                  <a:gs pos="0">
                    <a:srgbClr val="D4F4A6"/>
                  </a:gs>
                  <a:gs pos="100000">
                    <a:srgbClr val="8DB241"/>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EAAC-884F-8000-B1E5C811F453}"/>
              </c:ext>
            </c:extLst>
          </c:dPt>
          <c:dPt>
            <c:idx val="3"/>
            <c:invertIfNegative val="0"/>
            <c:bubble3D val="0"/>
            <c:spPr>
              <a:gradFill rotWithShape="0">
                <a:gsLst>
                  <a:gs pos="0">
                    <a:srgbClr val="C5B3E2"/>
                  </a:gs>
                  <a:gs pos="100000">
                    <a:srgbClr val="704F97"/>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EAAC-884F-8000-B1E5C811F453}"/>
              </c:ext>
            </c:extLst>
          </c:dPt>
          <c:dPt>
            <c:idx val="4"/>
            <c:invertIfNegative val="0"/>
            <c:bubble3D val="0"/>
            <c:spPr>
              <a:gradFill rotWithShape="0">
                <a:gsLst>
                  <a:gs pos="0">
                    <a:srgbClr val="9DE2FF"/>
                  </a:gs>
                  <a:gs pos="100000">
                    <a:srgbClr val="31A1C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EAAC-884F-8000-B1E5C811F453}"/>
              </c:ext>
            </c:extLst>
          </c:dPt>
          <c:dPt>
            <c:idx val="5"/>
            <c:invertIfNegative val="0"/>
            <c:bubble3D val="0"/>
            <c:spPr>
              <a:gradFill rotWithShape="0">
                <a:gsLst>
                  <a:gs pos="0">
                    <a:srgbClr val="FFB885"/>
                  </a:gs>
                  <a:gs pos="100000">
                    <a:srgbClr val="F28225"/>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EAAC-884F-8000-B1E5C811F453}"/>
              </c:ext>
            </c:extLst>
          </c:dPt>
          <c:dPt>
            <c:idx val="6"/>
            <c:invertIfNegative val="0"/>
            <c:bubble3D val="0"/>
            <c:spPr>
              <a:gradFill rotWithShape="0">
                <a:gsLst>
                  <a:gs pos="0">
                    <a:srgbClr val="B6D1FF"/>
                  </a:gs>
                  <a:gs pos="100000">
                    <a:srgbClr val="8AA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6-EAAC-884F-8000-B1E5C811F453}"/>
              </c:ext>
            </c:extLst>
          </c:dPt>
          <c:dPt>
            <c:idx val="7"/>
            <c:invertIfNegative val="0"/>
            <c:bubble3D val="0"/>
            <c:spPr>
              <a:gradFill rotWithShape="0">
                <a:gsLst>
                  <a:gs pos="0">
                    <a:srgbClr val="FFB6B4"/>
                  </a:gs>
                  <a:gs pos="100000">
                    <a:srgbClr val="DA8A8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EAAC-884F-8000-B1E5C811F453}"/>
              </c:ext>
            </c:extLst>
          </c:dPt>
          <c:dPt>
            <c:idx val="8"/>
            <c:invertIfNegative val="0"/>
            <c:bubble3D val="0"/>
            <c:spPr>
              <a:gradFill rotWithShape="0">
                <a:gsLst>
                  <a:gs pos="0">
                    <a:srgbClr val="E4FFBA"/>
                  </a:gs>
                  <a:gs pos="100000">
                    <a:srgbClr val="BBD68E"/>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EAAC-884F-8000-B1E5C811F453}"/>
              </c:ext>
            </c:extLst>
          </c:dPt>
          <c:dPt>
            <c:idx val="9"/>
            <c:invertIfNegative val="0"/>
            <c:bubble3D val="0"/>
            <c:spPr>
              <a:gradFill rotWithShape="0">
                <a:gsLst>
                  <a:gs pos="0">
                    <a:srgbClr val="D6C5F1"/>
                  </a:gs>
                  <a:gs pos="100000">
                    <a:srgbClr val="A896C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EAAC-884F-8000-B1E5C811F453}"/>
              </c:ext>
            </c:extLst>
          </c:dPt>
          <c:dPt>
            <c:idx val="10"/>
            <c:invertIfNegative val="0"/>
            <c:bubble3D val="0"/>
            <c:spPr>
              <a:gradFill rotWithShape="0">
                <a:gsLst>
                  <a:gs pos="0">
                    <a:srgbClr val="B2F1FF"/>
                  </a:gs>
                  <a:gs pos="100000">
                    <a:srgbClr val="87C8DF"/>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EAAC-884F-8000-B1E5C811F453}"/>
              </c:ext>
            </c:extLst>
          </c:dPt>
          <c:cat>
            <c:strRef>
              <c:f>'Data Reduction Engine'!$B$864:$B$874</c:f>
              <c:strCache>
                <c:ptCount val="11"/>
                <c:pt idx="0">
                  <c:v>(206/205)m</c:v>
                </c:pt>
                <c:pt idx="1">
                  <c:v>(207/206)m</c:v>
                </c:pt>
                <c:pt idx="2">
                  <c:v>(204/206)m</c:v>
                </c:pt>
                <c:pt idx="3">
                  <c:v>FPb</c:v>
                </c:pt>
                <c:pt idx="4">
                  <c:v>206Pb blank</c:v>
                </c:pt>
                <c:pt idx="5">
                  <c:v>(206/204)b</c:v>
                </c:pt>
                <c:pt idx="6">
                  <c:v>(207/206)c</c:v>
                </c:pt>
                <c:pt idx="7">
                  <c:v>(206/204)c</c:v>
                </c:pt>
                <c:pt idx="8">
                  <c:v>(206/205)t</c:v>
                </c:pt>
                <c:pt idx="9">
                  <c:v>(207/206)t</c:v>
                </c:pt>
                <c:pt idx="10">
                  <c:v>(204/205)t</c:v>
                </c:pt>
              </c:strCache>
            </c:strRef>
          </c:cat>
          <c:val>
            <c:numRef>
              <c:f>'Data Reduction Engine'!$K$864:$K$874</c:f>
              <c:numCache>
                <c:formatCode>0.00%</c:formatCode>
                <c:ptCount val="11"/>
                <c:pt idx="0">
                  <c:v>9.4651979161817683E-6</c:v>
                </c:pt>
                <c:pt idx="1">
                  <c:v>1.4697759851442522E-3</c:v>
                </c:pt>
                <c:pt idx="2">
                  <c:v>0.15854555501063386</c:v>
                </c:pt>
                <c:pt idx="3">
                  <c:v>0.2678403959238681</c:v>
                </c:pt>
                <c:pt idx="4">
                  <c:v>1.5734093566127979E-2</c:v>
                </c:pt>
                <c:pt idx="5">
                  <c:v>0.54797464133770812</c:v>
                </c:pt>
                <c:pt idx="6">
                  <c:v>9.9999999999999995E-7</c:v>
                </c:pt>
                <c:pt idx="7">
                  <c:v>9.9999999999999995E-7</c:v>
                </c:pt>
                <c:pt idx="8">
                  <c:v>1.0562572994381982E-4</c:v>
                </c:pt>
                <c:pt idx="9">
                  <c:v>8.7469147904755854E-12</c:v>
                </c:pt>
                <c:pt idx="10">
                  <c:v>8.3204472399108134E-3</c:v>
                </c:pt>
              </c:numCache>
            </c:numRef>
          </c:val>
          <c:extLst>
            <c:ext xmlns:c16="http://schemas.microsoft.com/office/drawing/2014/chart" uri="{C3380CC4-5D6E-409C-BE32-E72D297353CC}">
              <c16:uniqueId val="{0000000B-EAAC-884F-8000-B1E5C811F453}"/>
            </c:ext>
          </c:extLst>
        </c:ser>
        <c:dLbls>
          <c:showLegendKey val="0"/>
          <c:showVal val="0"/>
          <c:showCatName val="0"/>
          <c:showSerName val="0"/>
          <c:showPercent val="0"/>
          <c:showBubbleSize val="0"/>
        </c:dLbls>
        <c:gapWidth val="0"/>
        <c:axId val="1052270000"/>
        <c:axId val="1"/>
      </c:barChart>
      <c:catAx>
        <c:axId val="1052270000"/>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522700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8876896485500305"/>
          <c:y val="0.15778546712802805"/>
          <c:w val="0.76535740349529513"/>
          <c:h val="0.59972318339100306"/>
        </c:manualLayout>
      </c:layout>
      <c:barChart>
        <c:barDir val="col"/>
        <c:grouping val="clustered"/>
        <c:varyColors val="1"/>
        <c:ser>
          <c:idx val="0"/>
          <c:order val="0"/>
          <c:tx>
            <c:strRef>
              <c:f>'Data Reduction Engine'!$L$5</c:f>
              <c:strCache>
                <c:ptCount val="1"/>
                <c:pt idx="0">
                  <c:v>z1b</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5BFF0"/>
                  </a:gs>
                  <a:gs pos="100000">
                    <a:srgbClr val="3268A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4747-1842-A8EC-FD810ACF2DFB}"/>
              </c:ext>
            </c:extLst>
          </c:dPt>
          <c:dPt>
            <c:idx val="1"/>
            <c:invertIfNegative val="0"/>
            <c:bubble3D val="0"/>
            <c:spPr>
              <a:gradFill rotWithShape="0">
                <a:gsLst>
                  <a:gs pos="0">
                    <a:srgbClr val="F2A5A4"/>
                  </a:gs>
                  <a:gs pos="100000">
                    <a:srgbClr val="AD333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4747-1842-A8EC-FD810ACF2DFB}"/>
              </c:ext>
            </c:extLst>
          </c:dPt>
          <c:dPt>
            <c:idx val="2"/>
            <c:invertIfNegative val="0"/>
            <c:bubble3D val="0"/>
            <c:spPr>
              <a:gradFill rotWithShape="0">
                <a:gsLst>
                  <a:gs pos="0">
                    <a:srgbClr val="D1EDA8"/>
                  </a:gs>
                  <a:gs pos="100000">
                    <a:srgbClr val="83A6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4747-1842-A8EC-FD810ACF2DFB}"/>
              </c:ext>
            </c:extLst>
          </c:dPt>
          <c:dPt>
            <c:idx val="3"/>
            <c:invertIfNegative val="0"/>
            <c:bubble3D val="0"/>
            <c:spPr>
              <a:gradFill rotWithShape="0">
                <a:gsLst>
                  <a:gs pos="0">
                    <a:srgbClr val="C4B4DD"/>
                  </a:gs>
                  <a:gs pos="100000">
                    <a:srgbClr val="68498D"/>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4747-1842-A8EC-FD810ACF2DFB}"/>
              </c:ext>
            </c:extLst>
          </c:dPt>
          <c:dPt>
            <c:idx val="4"/>
            <c:invertIfNegative val="0"/>
            <c:bubble3D val="0"/>
            <c:spPr>
              <a:gradFill rotWithShape="0">
                <a:gsLst>
                  <a:gs pos="0">
                    <a:srgbClr val="A1DDF6"/>
                  </a:gs>
                  <a:gs pos="100000">
                    <a:srgbClr val="2D96B3"/>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4747-1842-A8EC-FD810ACF2DFB}"/>
              </c:ext>
            </c:extLst>
          </c:dPt>
          <c:dPt>
            <c:idx val="5"/>
            <c:invertIfNegative val="0"/>
            <c:bubble3D val="0"/>
            <c:spPr>
              <a:gradFill rotWithShape="0">
                <a:gsLst>
                  <a:gs pos="0">
                    <a:srgbClr val="FFB88C"/>
                  </a:gs>
                  <a:gs pos="100000">
                    <a:srgbClr val="E2792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4747-1842-A8EC-FD810ACF2DFB}"/>
              </c:ext>
            </c:extLst>
          </c:dPt>
          <c:dPt>
            <c:idx val="6"/>
            <c:invertIfNegative val="0"/>
            <c:bubble3D val="0"/>
            <c:extLst>
              <c:ext xmlns:c16="http://schemas.microsoft.com/office/drawing/2014/chart" uri="{C3380CC4-5D6E-409C-BE32-E72D297353CC}">
                <c16:uniqueId val="{00000006-4747-1842-A8EC-FD810ACF2DFB}"/>
              </c:ext>
            </c:extLst>
          </c:dPt>
          <c:dPt>
            <c:idx val="7"/>
            <c:invertIfNegative val="0"/>
            <c:bubble3D val="0"/>
            <c:spPr>
              <a:gradFill rotWithShape="0">
                <a:gsLst>
                  <a:gs pos="0">
                    <a:srgbClr val="FF9A99"/>
                  </a:gs>
                  <a:gs pos="100000">
                    <a:srgbClr val="D140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4747-1842-A8EC-FD810ACF2DFB}"/>
              </c:ext>
            </c:extLst>
          </c:dPt>
          <c:dPt>
            <c:idx val="8"/>
            <c:invertIfNegative val="0"/>
            <c:bubble3D val="0"/>
            <c:spPr>
              <a:gradFill rotWithShape="0">
                <a:gsLst>
                  <a:gs pos="0">
                    <a:srgbClr val="DCFFA0"/>
                  </a:gs>
                  <a:gs pos="100000">
                    <a:srgbClr val="A0CA4A"/>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4747-1842-A8EC-FD810ACF2DFB}"/>
              </c:ext>
            </c:extLst>
          </c:dPt>
          <c:dPt>
            <c:idx val="9"/>
            <c:invertIfNegative val="0"/>
            <c:bubble3D val="0"/>
            <c:spPr>
              <a:gradFill rotWithShape="0">
                <a:gsLst>
                  <a:gs pos="0">
                    <a:srgbClr val="C8B0ED"/>
                  </a:gs>
                  <a:gs pos="100000">
                    <a:srgbClr val="7F5BA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4747-1842-A8EC-FD810ACF2DFB}"/>
              </c:ext>
            </c:extLst>
          </c:dPt>
          <c:dPt>
            <c:idx val="10"/>
            <c:invertIfNegative val="0"/>
            <c:bubble3D val="0"/>
            <c:spPr>
              <a:gradFill rotWithShape="0">
                <a:gsLst>
                  <a:gs pos="0">
                    <a:srgbClr val="95EEFF"/>
                  </a:gs>
                  <a:gs pos="100000">
                    <a:srgbClr val="39B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4747-1842-A8EC-FD810ACF2DFB}"/>
              </c:ext>
            </c:extLst>
          </c:dPt>
          <c:dPt>
            <c:idx val="11"/>
            <c:invertIfNegative val="0"/>
            <c:bubble3D val="0"/>
            <c:spPr>
              <a:gradFill rotWithShape="0">
                <a:gsLst>
                  <a:gs pos="0">
                    <a:srgbClr val="FFB977"/>
                  </a:gs>
                  <a:gs pos="100000">
                    <a:srgbClr val="FF932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B-4747-1842-A8EC-FD810ACF2DFB}"/>
              </c:ext>
            </c:extLst>
          </c:dPt>
          <c:cat>
            <c:strRef>
              <c:f>'Data Reduction Engine'!$B$838:$B$849</c:f>
              <c:strCache>
                <c:ptCount val="12"/>
                <c:pt idx="0">
                  <c:v>(206/205)m</c:v>
                </c:pt>
                <c:pt idx="1">
                  <c:v>(204/206)m</c:v>
                </c:pt>
                <c:pt idx="2">
                  <c:v>FPb</c:v>
                </c:pt>
                <c:pt idx="3">
                  <c:v>206Pb blank</c:v>
                </c:pt>
                <c:pt idx="4">
                  <c:v>(206/204)b</c:v>
                </c:pt>
                <c:pt idx="5">
                  <c:v>(206/204)c</c:v>
                </c:pt>
                <c:pt idx="6">
                  <c:v>(238/235)m</c:v>
                </c:pt>
                <c:pt idx="7">
                  <c:v>FU</c:v>
                </c:pt>
                <c:pt idx="8">
                  <c:v>238U blank</c:v>
                </c:pt>
                <c:pt idx="9">
                  <c:v>(Th/U)zircon</c:v>
                </c:pt>
                <c:pt idx="10">
                  <c:v>(Th/U)magma</c:v>
                </c:pt>
                <c:pt idx="11">
                  <c:v>(Th/U)initial</c:v>
                </c:pt>
              </c:strCache>
            </c:strRef>
          </c:cat>
          <c:val>
            <c:numRef>
              <c:f>'Data Reduction Engine'!$L$838:$L$849</c:f>
              <c:numCache>
                <c:formatCode>0.00%</c:formatCode>
                <c:ptCount val="12"/>
                <c:pt idx="0">
                  <c:v>4.6467455949953163E-2</c:v>
                </c:pt>
                <c:pt idx="1">
                  <c:v>1.2125677490054427E-2</c:v>
                </c:pt>
                <c:pt idx="2">
                  <c:v>0.75284900065710958</c:v>
                </c:pt>
                <c:pt idx="3">
                  <c:v>3.8835749848138583E-2</c:v>
                </c:pt>
                <c:pt idx="4">
                  <c:v>2.8331061291676257E-2</c:v>
                </c:pt>
                <c:pt idx="5">
                  <c:v>9.9999999999999995E-7</c:v>
                </c:pt>
                <c:pt idx="6">
                  <c:v>4.072166628109916E-3</c:v>
                </c:pt>
                <c:pt idx="7">
                  <c:v>6.0190347004389473E-2</c:v>
                </c:pt>
                <c:pt idx="8">
                  <c:v>8.9547385308025621E-4</c:v>
                </c:pt>
                <c:pt idx="9">
                  <c:v>7.8926106905072813E-6</c:v>
                </c:pt>
                <c:pt idx="10">
                  <c:v>5.1582729052108242E-2</c:v>
                </c:pt>
                <c:pt idx="11">
                  <c:v>4.6424456146897438E-3</c:v>
                </c:pt>
              </c:numCache>
            </c:numRef>
          </c:val>
          <c:extLst>
            <c:ext xmlns:c16="http://schemas.microsoft.com/office/drawing/2014/chart" uri="{C3380CC4-5D6E-409C-BE32-E72D297353CC}">
              <c16:uniqueId val="{0000000C-4747-1842-A8EC-FD810ACF2DFB}"/>
            </c:ext>
          </c:extLst>
        </c:ser>
        <c:dLbls>
          <c:showLegendKey val="0"/>
          <c:showVal val="0"/>
          <c:showCatName val="0"/>
          <c:showSerName val="0"/>
          <c:showPercent val="0"/>
          <c:showBubbleSize val="0"/>
        </c:dLbls>
        <c:gapWidth val="0"/>
        <c:axId val="1052365344"/>
        <c:axId val="1"/>
      </c:barChart>
      <c:catAx>
        <c:axId val="1052365344"/>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523653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5225657768388706"/>
          <c:y val="0.15833333333333333"/>
          <c:w val="0.68669982715575184"/>
          <c:h val="0.64123496281714787"/>
        </c:manualLayout>
      </c:layout>
      <c:barChart>
        <c:barDir val="col"/>
        <c:grouping val="clustered"/>
        <c:varyColors val="1"/>
        <c:ser>
          <c:idx val="0"/>
          <c:order val="0"/>
          <c:tx>
            <c:strRef>
              <c:f>'Data Reduction Engine'!$C$5</c:f>
              <c:strCache>
                <c:ptCount val="1"/>
                <c:pt idx="0">
                  <c:v>15WZ1-2 t1</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2BFF8"/>
                  </a:gs>
                  <a:gs pos="100000">
                    <a:srgbClr val="3670B6"/>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BC76-6546-B563-1CBB799A0412}"/>
              </c:ext>
            </c:extLst>
          </c:dPt>
          <c:dPt>
            <c:idx val="1"/>
            <c:invertIfNegative val="0"/>
            <c:bubble3D val="0"/>
            <c:spPr>
              <a:gradFill rotWithShape="0">
                <a:gsLst>
                  <a:gs pos="0">
                    <a:srgbClr val="FAA1A0"/>
                  </a:gs>
                  <a:gs pos="100000">
                    <a:srgbClr val="B93734"/>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BC76-6546-B563-1CBB799A0412}"/>
              </c:ext>
            </c:extLst>
          </c:dPt>
          <c:dPt>
            <c:idx val="2"/>
            <c:invertIfNegative val="0"/>
            <c:bubble3D val="0"/>
            <c:spPr>
              <a:gradFill rotWithShape="0">
                <a:gsLst>
                  <a:gs pos="0">
                    <a:srgbClr val="D4F4A6"/>
                  </a:gs>
                  <a:gs pos="100000">
                    <a:srgbClr val="8DB241"/>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BC76-6546-B563-1CBB799A0412}"/>
              </c:ext>
            </c:extLst>
          </c:dPt>
          <c:dPt>
            <c:idx val="3"/>
            <c:invertIfNegative val="0"/>
            <c:bubble3D val="0"/>
            <c:spPr>
              <a:gradFill rotWithShape="0">
                <a:gsLst>
                  <a:gs pos="0">
                    <a:srgbClr val="C5B3E2"/>
                  </a:gs>
                  <a:gs pos="100000">
                    <a:srgbClr val="704F97"/>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BC76-6546-B563-1CBB799A0412}"/>
              </c:ext>
            </c:extLst>
          </c:dPt>
          <c:dPt>
            <c:idx val="4"/>
            <c:invertIfNegative val="0"/>
            <c:bubble3D val="0"/>
            <c:spPr>
              <a:gradFill rotWithShape="0">
                <a:gsLst>
                  <a:gs pos="0">
                    <a:srgbClr val="9DE2FF"/>
                  </a:gs>
                  <a:gs pos="100000">
                    <a:srgbClr val="31A1C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BC76-6546-B563-1CBB799A0412}"/>
              </c:ext>
            </c:extLst>
          </c:dPt>
          <c:dPt>
            <c:idx val="5"/>
            <c:invertIfNegative val="0"/>
            <c:bubble3D val="0"/>
            <c:spPr>
              <a:gradFill rotWithShape="0">
                <a:gsLst>
                  <a:gs pos="0">
                    <a:srgbClr val="FFB885"/>
                  </a:gs>
                  <a:gs pos="100000">
                    <a:srgbClr val="F28225"/>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BC76-6546-B563-1CBB799A0412}"/>
              </c:ext>
            </c:extLst>
          </c:dPt>
          <c:dPt>
            <c:idx val="6"/>
            <c:invertIfNegative val="0"/>
            <c:bubble3D val="0"/>
            <c:spPr>
              <a:gradFill rotWithShape="0">
                <a:gsLst>
                  <a:gs pos="0">
                    <a:srgbClr val="B6D1FF"/>
                  </a:gs>
                  <a:gs pos="100000">
                    <a:srgbClr val="8AA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6-BC76-6546-B563-1CBB799A0412}"/>
              </c:ext>
            </c:extLst>
          </c:dPt>
          <c:dPt>
            <c:idx val="7"/>
            <c:invertIfNegative val="0"/>
            <c:bubble3D val="0"/>
            <c:spPr>
              <a:gradFill rotWithShape="0">
                <a:gsLst>
                  <a:gs pos="0">
                    <a:srgbClr val="FFB6B4"/>
                  </a:gs>
                  <a:gs pos="100000">
                    <a:srgbClr val="DA8A8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BC76-6546-B563-1CBB799A0412}"/>
              </c:ext>
            </c:extLst>
          </c:dPt>
          <c:dPt>
            <c:idx val="8"/>
            <c:invertIfNegative val="0"/>
            <c:bubble3D val="0"/>
            <c:spPr>
              <a:gradFill rotWithShape="0">
                <a:gsLst>
                  <a:gs pos="0">
                    <a:srgbClr val="E4FFBA"/>
                  </a:gs>
                  <a:gs pos="100000">
                    <a:srgbClr val="BBD68E"/>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BC76-6546-B563-1CBB799A0412}"/>
              </c:ext>
            </c:extLst>
          </c:dPt>
          <c:dPt>
            <c:idx val="9"/>
            <c:invertIfNegative val="0"/>
            <c:bubble3D val="0"/>
            <c:spPr>
              <a:gradFill rotWithShape="0">
                <a:gsLst>
                  <a:gs pos="0">
                    <a:srgbClr val="D6C5F1"/>
                  </a:gs>
                  <a:gs pos="100000">
                    <a:srgbClr val="A896C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BC76-6546-B563-1CBB799A0412}"/>
              </c:ext>
            </c:extLst>
          </c:dPt>
          <c:dPt>
            <c:idx val="10"/>
            <c:invertIfNegative val="0"/>
            <c:bubble3D val="0"/>
            <c:spPr>
              <a:gradFill rotWithShape="0">
                <a:gsLst>
                  <a:gs pos="0">
                    <a:srgbClr val="B2F1FF"/>
                  </a:gs>
                  <a:gs pos="100000">
                    <a:srgbClr val="87C8DF"/>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BC76-6546-B563-1CBB799A0412}"/>
              </c:ext>
            </c:extLst>
          </c:dPt>
          <c:cat>
            <c:strRef>
              <c:f>'Data Reduction Engine'!$B$864:$B$874</c:f>
              <c:strCache>
                <c:ptCount val="11"/>
                <c:pt idx="0">
                  <c:v>(206/205)m</c:v>
                </c:pt>
                <c:pt idx="1">
                  <c:v>(207/206)m</c:v>
                </c:pt>
                <c:pt idx="2">
                  <c:v>(204/206)m</c:v>
                </c:pt>
                <c:pt idx="3">
                  <c:v>FPb</c:v>
                </c:pt>
                <c:pt idx="4">
                  <c:v>206Pb blank</c:v>
                </c:pt>
                <c:pt idx="5">
                  <c:v>(206/204)b</c:v>
                </c:pt>
                <c:pt idx="6">
                  <c:v>(207/206)c</c:v>
                </c:pt>
                <c:pt idx="7">
                  <c:v>(206/204)c</c:v>
                </c:pt>
                <c:pt idx="8">
                  <c:v>(206/205)t</c:v>
                </c:pt>
                <c:pt idx="9">
                  <c:v>(207/206)t</c:v>
                </c:pt>
                <c:pt idx="10">
                  <c:v>(204/205)t</c:v>
                </c:pt>
              </c:strCache>
            </c:strRef>
          </c:cat>
          <c:val>
            <c:numRef>
              <c:f>'Data Reduction Engine'!$C$864:$C$874</c:f>
              <c:numCache>
                <c:formatCode>0.00%</c:formatCode>
                <c:ptCount val="11"/>
                <c:pt idx="0">
                  <c:v>4.1424138212976155E-7</c:v>
                </c:pt>
                <c:pt idx="1">
                  <c:v>2.5119238879786562E-2</c:v>
                </c:pt>
                <c:pt idx="2">
                  <c:v>0.11520622193888971</c:v>
                </c:pt>
                <c:pt idx="3">
                  <c:v>0.26552678370909433</c:v>
                </c:pt>
                <c:pt idx="4">
                  <c:v>1.9422117180397621E-3</c:v>
                </c:pt>
                <c:pt idx="5">
                  <c:v>6.8870045887436893E-2</c:v>
                </c:pt>
                <c:pt idx="6">
                  <c:v>0.49275764953407708</c:v>
                </c:pt>
                <c:pt idx="7">
                  <c:v>2.9174118324363431E-2</c:v>
                </c:pt>
                <c:pt idx="8">
                  <c:v>5.5662820676803631E-5</c:v>
                </c:pt>
                <c:pt idx="9">
                  <c:v>1.1386212767456031E-10</c:v>
                </c:pt>
                <c:pt idx="10">
                  <c:v>1.3476528323911482E-3</c:v>
                </c:pt>
              </c:numCache>
            </c:numRef>
          </c:val>
          <c:extLst>
            <c:ext xmlns:c16="http://schemas.microsoft.com/office/drawing/2014/chart" uri="{C3380CC4-5D6E-409C-BE32-E72D297353CC}">
              <c16:uniqueId val="{0000000B-BC76-6546-B563-1CBB799A0412}"/>
            </c:ext>
          </c:extLst>
        </c:ser>
        <c:dLbls>
          <c:showLegendKey val="0"/>
          <c:showVal val="0"/>
          <c:showCatName val="0"/>
          <c:showSerName val="0"/>
          <c:showPercent val="0"/>
          <c:showBubbleSize val="0"/>
        </c:dLbls>
        <c:gapWidth val="0"/>
        <c:axId val="1013369504"/>
        <c:axId val="1"/>
      </c:barChart>
      <c:catAx>
        <c:axId val="1013369504"/>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133695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5225657768388698"/>
          <c:y val="0.15833333333333305"/>
          <c:w val="0.68669982715575228"/>
          <c:h val="0.64123496281714798"/>
        </c:manualLayout>
      </c:layout>
      <c:barChart>
        <c:barDir val="col"/>
        <c:grouping val="clustered"/>
        <c:varyColors val="1"/>
        <c:ser>
          <c:idx val="0"/>
          <c:order val="0"/>
          <c:tx>
            <c:strRef>
              <c:f>'Data Reduction Engine'!$L$5</c:f>
              <c:strCache>
                <c:ptCount val="1"/>
                <c:pt idx="0">
                  <c:v>z1b</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2BFF8"/>
                  </a:gs>
                  <a:gs pos="100000">
                    <a:srgbClr val="3670B6"/>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A01E-AE4E-8F6B-D089899B5814}"/>
              </c:ext>
            </c:extLst>
          </c:dPt>
          <c:dPt>
            <c:idx val="1"/>
            <c:invertIfNegative val="0"/>
            <c:bubble3D val="0"/>
            <c:spPr>
              <a:gradFill rotWithShape="0">
                <a:gsLst>
                  <a:gs pos="0">
                    <a:srgbClr val="FAA1A0"/>
                  </a:gs>
                  <a:gs pos="100000">
                    <a:srgbClr val="B93734"/>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A01E-AE4E-8F6B-D089899B5814}"/>
              </c:ext>
            </c:extLst>
          </c:dPt>
          <c:dPt>
            <c:idx val="2"/>
            <c:invertIfNegative val="0"/>
            <c:bubble3D val="0"/>
            <c:spPr>
              <a:gradFill rotWithShape="0">
                <a:gsLst>
                  <a:gs pos="0">
                    <a:srgbClr val="D4F4A6"/>
                  </a:gs>
                  <a:gs pos="100000">
                    <a:srgbClr val="8DB241"/>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A01E-AE4E-8F6B-D089899B5814}"/>
              </c:ext>
            </c:extLst>
          </c:dPt>
          <c:dPt>
            <c:idx val="3"/>
            <c:invertIfNegative val="0"/>
            <c:bubble3D val="0"/>
            <c:spPr>
              <a:gradFill rotWithShape="0">
                <a:gsLst>
                  <a:gs pos="0">
                    <a:srgbClr val="C5B3E2"/>
                  </a:gs>
                  <a:gs pos="100000">
                    <a:srgbClr val="704F97"/>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A01E-AE4E-8F6B-D089899B5814}"/>
              </c:ext>
            </c:extLst>
          </c:dPt>
          <c:dPt>
            <c:idx val="4"/>
            <c:invertIfNegative val="0"/>
            <c:bubble3D val="0"/>
            <c:spPr>
              <a:gradFill rotWithShape="0">
                <a:gsLst>
                  <a:gs pos="0">
                    <a:srgbClr val="9DE2FF"/>
                  </a:gs>
                  <a:gs pos="100000">
                    <a:srgbClr val="31A1C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A01E-AE4E-8F6B-D089899B5814}"/>
              </c:ext>
            </c:extLst>
          </c:dPt>
          <c:dPt>
            <c:idx val="5"/>
            <c:invertIfNegative val="0"/>
            <c:bubble3D val="0"/>
            <c:spPr>
              <a:gradFill rotWithShape="0">
                <a:gsLst>
                  <a:gs pos="0">
                    <a:srgbClr val="FFB885"/>
                  </a:gs>
                  <a:gs pos="100000">
                    <a:srgbClr val="F28225"/>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A01E-AE4E-8F6B-D089899B5814}"/>
              </c:ext>
            </c:extLst>
          </c:dPt>
          <c:dPt>
            <c:idx val="6"/>
            <c:invertIfNegative val="0"/>
            <c:bubble3D val="0"/>
            <c:spPr>
              <a:gradFill rotWithShape="0">
                <a:gsLst>
                  <a:gs pos="0">
                    <a:srgbClr val="B6D1FF"/>
                  </a:gs>
                  <a:gs pos="100000">
                    <a:srgbClr val="8AA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6-A01E-AE4E-8F6B-D089899B5814}"/>
              </c:ext>
            </c:extLst>
          </c:dPt>
          <c:dPt>
            <c:idx val="7"/>
            <c:invertIfNegative val="0"/>
            <c:bubble3D val="0"/>
            <c:spPr>
              <a:gradFill rotWithShape="0">
                <a:gsLst>
                  <a:gs pos="0">
                    <a:srgbClr val="FFB6B4"/>
                  </a:gs>
                  <a:gs pos="100000">
                    <a:srgbClr val="DA8A8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A01E-AE4E-8F6B-D089899B5814}"/>
              </c:ext>
            </c:extLst>
          </c:dPt>
          <c:dPt>
            <c:idx val="8"/>
            <c:invertIfNegative val="0"/>
            <c:bubble3D val="0"/>
            <c:spPr>
              <a:gradFill rotWithShape="0">
                <a:gsLst>
                  <a:gs pos="0">
                    <a:srgbClr val="E4FFBA"/>
                  </a:gs>
                  <a:gs pos="100000">
                    <a:srgbClr val="BBD68E"/>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A01E-AE4E-8F6B-D089899B5814}"/>
              </c:ext>
            </c:extLst>
          </c:dPt>
          <c:dPt>
            <c:idx val="9"/>
            <c:invertIfNegative val="0"/>
            <c:bubble3D val="0"/>
            <c:spPr>
              <a:gradFill rotWithShape="0">
                <a:gsLst>
                  <a:gs pos="0">
                    <a:srgbClr val="D6C5F1"/>
                  </a:gs>
                  <a:gs pos="100000">
                    <a:srgbClr val="A896C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A01E-AE4E-8F6B-D089899B5814}"/>
              </c:ext>
            </c:extLst>
          </c:dPt>
          <c:dPt>
            <c:idx val="10"/>
            <c:invertIfNegative val="0"/>
            <c:bubble3D val="0"/>
            <c:spPr>
              <a:gradFill rotWithShape="0">
                <a:gsLst>
                  <a:gs pos="0">
                    <a:srgbClr val="B2F1FF"/>
                  </a:gs>
                  <a:gs pos="100000">
                    <a:srgbClr val="87C8DF"/>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A01E-AE4E-8F6B-D089899B5814}"/>
              </c:ext>
            </c:extLst>
          </c:dPt>
          <c:cat>
            <c:strRef>
              <c:f>'Data Reduction Engine'!$B$864:$B$874</c:f>
              <c:strCache>
                <c:ptCount val="11"/>
                <c:pt idx="0">
                  <c:v>(206/205)m</c:v>
                </c:pt>
                <c:pt idx="1">
                  <c:v>(207/206)m</c:v>
                </c:pt>
                <c:pt idx="2">
                  <c:v>(204/206)m</c:v>
                </c:pt>
                <c:pt idx="3">
                  <c:v>FPb</c:v>
                </c:pt>
                <c:pt idx="4">
                  <c:v>206Pb blank</c:v>
                </c:pt>
                <c:pt idx="5">
                  <c:v>(206/204)b</c:v>
                </c:pt>
                <c:pt idx="6">
                  <c:v>(207/206)c</c:v>
                </c:pt>
                <c:pt idx="7">
                  <c:v>(206/204)c</c:v>
                </c:pt>
                <c:pt idx="8">
                  <c:v>(206/205)t</c:v>
                </c:pt>
                <c:pt idx="9">
                  <c:v>(207/206)t</c:v>
                </c:pt>
                <c:pt idx="10">
                  <c:v>(204/205)t</c:v>
                </c:pt>
              </c:strCache>
            </c:strRef>
          </c:cat>
          <c:val>
            <c:numRef>
              <c:f>'Data Reduction Engine'!$L$864:$L$874</c:f>
              <c:numCache>
                <c:formatCode>0.00%</c:formatCode>
                <c:ptCount val="11"/>
                <c:pt idx="0">
                  <c:v>5.5125676476526325E-6</c:v>
                </c:pt>
                <c:pt idx="1">
                  <c:v>9.7651486112363848E-4</c:v>
                </c:pt>
                <c:pt idx="2">
                  <c:v>0.25377422975239644</c:v>
                </c:pt>
                <c:pt idx="3">
                  <c:v>0.13201757741454842</c:v>
                </c:pt>
                <c:pt idx="4">
                  <c:v>1.7022885877447196E-2</c:v>
                </c:pt>
                <c:pt idx="5">
                  <c:v>0.59293126204784186</c:v>
                </c:pt>
                <c:pt idx="6">
                  <c:v>9.9999999999999995E-7</c:v>
                </c:pt>
                <c:pt idx="7">
                  <c:v>5.2761076180867411E-38</c:v>
                </c:pt>
                <c:pt idx="8">
                  <c:v>4.1016488324686373E-5</c:v>
                </c:pt>
                <c:pt idx="9">
                  <c:v>3.3966765044408355E-12</c:v>
                </c:pt>
                <c:pt idx="10">
                  <c:v>3.2310009872734149E-3</c:v>
                </c:pt>
              </c:numCache>
            </c:numRef>
          </c:val>
          <c:extLst>
            <c:ext xmlns:c16="http://schemas.microsoft.com/office/drawing/2014/chart" uri="{C3380CC4-5D6E-409C-BE32-E72D297353CC}">
              <c16:uniqueId val="{0000000B-A01E-AE4E-8F6B-D089899B5814}"/>
            </c:ext>
          </c:extLst>
        </c:ser>
        <c:dLbls>
          <c:showLegendKey val="0"/>
          <c:showVal val="0"/>
          <c:showCatName val="0"/>
          <c:showSerName val="0"/>
          <c:showPercent val="0"/>
          <c:showBubbleSize val="0"/>
        </c:dLbls>
        <c:gapWidth val="0"/>
        <c:axId val="1052359904"/>
        <c:axId val="1"/>
      </c:barChart>
      <c:catAx>
        <c:axId val="1052359904"/>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523599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8876896485500305"/>
          <c:y val="0.15778546712802805"/>
          <c:w val="0.76535740349529513"/>
          <c:h val="0.59972318339100306"/>
        </c:manualLayout>
      </c:layout>
      <c:barChart>
        <c:barDir val="col"/>
        <c:grouping val="clustered"/>
        <c:varyColors val="1"/>
        <c:ser>
          <c:idx val="0"/>
          <c:order val="0"/>
          <c:tx>
            <c:strRef>
              <c:f>'Data Reduction Engine'!$M$5</c:f>
              <c:strCache>
                <c:ptCount val="1"/>
                <c:pt idx="0">
                  <c:v>z2</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5BFF0"/>
                  </a:gs>
                  <a:gs pos="100000">
                    <a:srgbClr val="3268A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A56A-6C40-8CCC-13601B132F26}"/>
              </c:ext>
            </c:extLst>
          </c:dPt>
          <c:dPt>
            <c:idx val="1"/>
            <c:invertIfNegative val="0"/>
            <c:bubble3D val="0"/>
            <c:spPr>
              <a:gradFill rotWithShape="0">
                <a:gsLst>
                  <a:gs pos="0">
                    <a:srgbClr val="F2A5A4"/>
                  </a:gs>
                  <a:gs pos="100000">
                    <a:srgbClr val="AD333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A56A-6C40-8CCC-13601B132F26}"/>
              </c:ext>
            </c:extLst>
          </c:dPt>
          <c:dPt>
            <c:idx val="2"/>
            <c:invertIfNegative val="0"/>
            <c:bubble3D val="0"/>
            <c:spPr>
              <a:gradFill rotWithShape="0">
                <a:gsLst>
                  <a:gs pos="0">
                    <a:srgbClr val="D1EDA8"/>
                  </a:gs>
                  <a:gs pos="100000">
                    <a:srgbClr val="83A6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A56A-6C40-8CCC-13601B132F26}"/>
              </c:ext>
            </c:extLst>
          </c:dPt>
          <c:dPt>
            <c:idx val="3"/>
            <c:invertIfNegative val="0"/>
            <c:bubble3D val="0"/>
            <c:spPr>
              <a:gradFill rotWithShape="0">
                <a:gsLst>
                  <a:gs pos="0">
                    <a:srgbClr val="C4B4DD"/>
                  </a:gs>
                  <a:gs pos="100000">
                    <a:srgbClr val="68498D"/>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A56A-6C40-8CCC-13601B132F26}"/>
              </c:ext>
            </c:extLst>
          </c:dPt>
          <c:dPt>
            <c:idx val="4"/>
            <c:invertIfNegative val="0"/>
            <c:bubble3D val="0"/>
            <c:spPr>
              <a:gradFill rotWithShape="0">
                <a:gsLst>
                  <a:gs pos="0">
                    <a:srgbClr val="A1DDF6"/>
                  </a:gs>
                  <a:gs pos="100000">
                    <a:srgbClr val="2D96B3"/>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A56A-6C40-8CCC-13601B132F26}"/>
              </c:ext>
            </c:extLst>
          </c:dPt>
          <c:dPt>
            <c:idx val="5"/>
            <c:invertIfNegative val="0"/>
            <c:bubble3D val="0"/>
            <c:spPr>
              <a:gradFill rotWithShape="0">
                <a:gsLst>
                  <a:gs pos="0">
                    <a:srgbClr val="FFB88C"/>
                  </a:gs>
                  <a:gs pos="100000">
                    <a:srgbClr val="E2792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A56A-6C40-8CCC-13601B132F26}"/>
              </c:ext>
            </c:extLst>
          </c:dPt>
          <c:dPt>
            <c:idx val="6"/>
            <c:invertIfNegative val="0"/>
            <c:bubble3D val="0"/>
            <c:extLst>
              <c:ext xmlns:c16="http://schemas.microsoft.com/office/drawing/2014/chart" uri="{C3380CC4-5D6E-409C-BE32-E72D297353CC}">
                <c16:uniqueId val="{00000006-A56A-6C40-8CCC-13601B132F26}"/>
              </c:ext>
            </c:extLst>
          </c:dPt>
          <c:dPt>
            <c:idx val="7"/>
            <c:invertIfNegative val="0"/>
            <c:bubble3D val="0"/>
            <c:spPr>
              <a:gradFill rotWithShape="0">
                <a:gsLst>
                  <a:gs pos="0">
                    <a:srgbClr val="FF9A99"/>
                  </a:gs>
                  <a:gs pos="100000">
                    <a:srgbClr val="D140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A56A-6C40-8CCC-13601B132F26}"/>
              </c:ext>
            </c:extLst>
          </c:dPt>
          <c:dPt>
            <c:idx val="8"/>
            <c:invertIfNegative val="0"/>
            <c:bubble3D val="0"/>
            <c:spPr>
              <a:gradFill rotWithShape="0">
                <a:gsLst>
                  <a:gs pos="0">
                    <a:srgbClr val="DCFFA0"/>
                  </a:gs>
                  <a:gs pos="100000">
                    <a:srgbClr val="A0CA4A"/>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A56A-6C40-8CCC-13601B132F26}"/>
              </c:ext>
            </c:extLst>
          </c:dPt>
          <c:dPt>
            <c:idx val="9"/>
            <c:invertIfNegative val="0"/>
            <c:bubble3D val="0"/>
            <c:spPr>
              <a:gradFill rotWithShape="0">
                <a:gsLst>
                  <a:gs pos="0">
                    <a:srgbClr val="C8B0ED"/>
                  </a:gs>
                  <a:gs pos="100000">
                    <a:srgbClr val="7F5BA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A56A-6C40-8CCC-13601B132F26}"/>
              </c:ext>
            </c:extLst>
          </c:dPt>
          <c:dPt>
            <c:idx val="10"/>
            <c:invertIfNegative val="0"/>
            <c:bubble3D val="0"/>
            <c:spPr>
              <a:gradFill rotWithShape="0">
                <a:gsLst>
                  <a:gs pos="0">
                    <a:srgbClr val="95EEFF"/>
                  </a:gs>
                  <a:gs pos="100000">
                    <a:srgbClr val="39B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A56A-6C40-8CCC-13601B132F26}"/>
              </c:ext>
            </c:extLst>
          </c:dPt>
          <c:dPt>
            <c:idx val="11"/>
            <c:invertIfNegative val="0"/>
            <c:bubble3D val="0"/>
            <c:spPr>
              <a:gradFill rotWithShape="0">
                <a:gsLst>
                  <a:gs pos="0">
                    <a:srgbClr val="FFB977"/>
                  </a:gs>
                  <a:gs pos="100000">
                    <a:srgbClr val="FF932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B-A56A-6C40-8CCC-13601B132F26}"/>
              </c:ext>
            </c:extLst>
          </c:dPt>
          <c:cat>
            <c:strRef>
              <c:f>'Data Reduction Engine'!$B$838:$B$849</c:f>
              <c:strCache>
                <c:ptCount val="12"/>
                <c:pt idx="0">
                  <c:v>(206/205)m</c:v>
                </c:pt>
                <c:pt idx="1">
                  <c:v>(204/206)m</c:v>
                </c:pt>
                <c:pt idx="2">
                  <c:v>FPb</c:v>
                </c:pt>
                <c:pt idx="3">
                  <c:v>206Pb blank</c:v>
                </c:pt>
                <c:pt idx="4">
                  <c:v>(206/204)b</c:v>
                </c:pt>
                <c:pt idx="5">
                  <c:v>(206/204)c</c:v>
                </c:pt>
                <c:pt idx="6">
                  <c:v>(238/235)m</c:v>
                </c:pt>
                <c:pt idx="7">
                  <c:v>FU</c:v>
                </c:pt>
                <c:pt idx="8">
                  <c:v>238U blank</c:v>
                </c:pt>
                <c:pt idx="9">
                  <c:v>(Th/U)zircon</c:v>
                </c:pt>
                <c:pt idx="10">
                  <c:v>(Th/U)magma</c:v>
                </c:pt>
                <c:pt idx="11">
                  <c:v>(Th/U)initial</c:v>
                </c:pt>
              </c:strCache>
            </c:strRef>
          </c:cat>
          <c:val>
            <c:numRef>
              <c:f>'Data Reduction Engine'!$M$838:$M$849</c:f>
              <c:numCache>
                <c:formatCode>0.00%</c:formatCode>
                <c:ptCount val="12"/>
                <c:pt idx="0">
                  <c:v>0.14689469893016971</c:v>
                </c:pt>
                <c:pt idx="1">
                  <c:v>7.7750753478721341E-3</c:v>
                </c:pt>
                <c:pt idx="2">
                  <c:v>0.67401107024164686</c:v>
                </c:pt>
                <c:pt idx="3">
                  <c:v>3.9106283262840602E-2</c:v>
                </c:pt>
                <c:pt idx="4">
                  <c:v>2.8528418077198352E-2</c:v>
                </c:pt>
                <c:pt idx="5">
                  <c:v>9.9999999999999995E-7</c:v>
                </c:pt>
                <c:pt idx="6">
                  <c:v>1.4701839198489107E-3</c:v>
                </c:pt>
                <c:pt idx="7">
                  <c:v>5.146040131785902E-2</c:v>
                </c:pt>
                <c:pt idx="8">
                  <c:v>9.390049630386381E-4</c:v>
                </c:pt>
                <c:pt idx="9">
                  <c:v>6.6981455569890363E-6</c:v>
                </c:pt>
                <c:pt idx="10">
                  <c:v>4.5695564948595342E-2</c:v>
                </c:pt>
                <c:pt idx="11">
                  <c:v>4.112600845373582E-3</c:v>
                </c:pt>
              </c:numCache>
            </c:numRef>
          </c:val>
          <c:extLst>
            <c:ext xmlns:c16="http://schemas.microsoft.com/office/drawing/2014/chart" uri="{C3380CC4-5D6E-409C-BE32-E72D297353CC}">
              <c16:uniqueId val="{0000000C-A56A-6C40-8CCC-13601B132F26}"/>
            </c:ext>
          </c:extLst>
        </c:ser>
        <c:dLbls>
          <c:showLegendKey val="0"/>
          <c:showVal val="0"/>
          <c:showCatName val="0"/>
          <c:showSerName val="0"/>
          <c:showPercent val="0"/>
          <c:showBubbleSize val="0"/>
        </c:dLbls>
        <c:gapWidth val="0"/>
        <c:axId val="1052271456"/>
        <c:axId val="1"/>
      </c:barChart>
      <c:catAx>
        <c:axId val="1052271456"/>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522714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5225657768388698"/>
          <c:y val="0.15833333333333305"/>
          <c:w val="0.68669982715575228"/>
          <c:h val="0.64123496281714798"/>
        </c:manualLayout>
      </c:layout>
      <c:barChart>
        <c:barDir val="col"/>
        <c:grouping val="clustered"/>
        <c:varyColors val="1"/>
        <c:ser>
          <c:idx val="0"/>
          <c:order val="0"/>
          <c:tx>
            <c:strRef>
              <c:f>'Data Reduction Engine'!$M$5</c:f>
              <c:strCache>
                <c:ptCount val="1"/>
                <c:pt idx="0">
                  <c:v>z2</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2BFF8"/>
                  </a:gs>
                  <a:gs pos="100000">
                    <a:srgbClr val="3670B6"/>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90B0-D84A-91D8-550580A3792F}"/>
              </c:ext>
            </c:extLst>
          </c:dPt>
          <c:dPt>
            <c:idx val="1"/>
            <c:invertIfNegative val="0"/>
            <c:bubble3D val="0"/>
            <c:spPr>
              <a:gradFill rotWithShape="0">
                <a:gsLst>
                  <a:gs pos="0">
                    <a:srgbClr val="FAA1A0"/>
                  </a:gs>
                  <a:gs pos="100000">
                    <a:srgbClr val="B93734"/>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90B0-D84A-91D8-550580A3792F}"/>
              </c:ext>
            </c:extLst>
          </c:dPt>
          <c:dPt>
            <c:idx val="2"/>
            <c:invertIfNegative val="0"/>
            <c:bubble3D val="0"/>
            <c:spPr>
              <a:gradFill rotWithShape="0">
                <a:gsLst>
                  <a:gs pos="0">
                    <a:srgbClr val="D4F4A6"/>
                  </a:gs>
                  <a:gs pos="100000">
                    <a:srgbClr val="8DB241"/>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90B0-D84A-91D8-550580A3792F}"/>
              </c:ext>
            </c:extLst>
          </c:dPt>
          <c:dPt>
            <c:idx val="3"/>
            <c:invertIfNegative val="0"/>
            <c:bubble3D val="0"/>
            <c:spPr>
              <a:gradFill rotWithShape="0">
                <a:gsLst>
                  <a:gs pos="0">
                    <a:srgbClr val="C5B3E2"/>
                  </a:gs>
                  <a:gs pos="100000">
                    <a:srgbClr val="704F97"/>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90B0-D84A-91D8-550580A3792F}"/>
              </c:ext>
            </c:extLst>
          </c:dPt>
          <c:dPt>
            <c:idx val="4"/>
            <c:invertIfNegative val="0"/>
            <c:bubble3D val="0"/>
            <c:spPr>
              <a:gradFill rotWithShape="0">
                <a:gsLst>
                  <a:gs pos="0">
                    <a:srgbClr val="9DE2FF"/>
                  </a:gs>
                  <a:gs pos="100000">
                    <a:srgbClr val="31A1C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90B0-D84A-91D8-550580A3792F}"/>
              </c:ext>
            </c:extLst>
          </c:dPt>
          <c:dPt>
            <c:idx val="5"/>
            <c:invertIfNegative val="0"/>
            <c:bubble3D val="0"/>
            <c:spPr>
              <a:gradFill rotWithShape="0">
                <a:gsLst>
                  <a:gs pos="0">
                    <a:srgbClr val="FFB885"/>
                  </a:gs>
                  <a:gs pos="100000">
                    <a:srgbClr val="F28225"/>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90B0-D84A-91D8-550580A3792F}"/>
              </c:ext>
            </c:extLst>
          </c:dPt>
          <c:dPt>
            <c:idx val="6"/>
            <c:invertIfNegative val="0"/>
            <c:bubble3D val="0"/>
            <c:spPr>
              <a:gradFill rotWithShape="0">
                <a:gsLst>
                  <a:gs pos="0">
                    <a:srgbClr val="B6D1FF"/>
                  </a:gs>
                  <a:gs pos="100000">
                    <a:srgbClr val="8AA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6-90B0-D84A-91D8-550580A3792F}"/>
              </c:ext>
            </c:extLst>
          </c:dPt>
          <c:dPt>
            <c:idx val="7"/>
            <c:invertIfNegative val="0"/>
            <c:bubble3D val="0"/>
            <c:spPr>
              <a:gradFill rotWithShape="0">
                <a:gsLst>
                  <a:gs pos="0">
                    <a:srgbClr val="FFB6B4"/>
                  </a:gs>
                  <a:gs pos="100000">
                    <a:srgbClr val="DA8A8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90B0-D84A-91D8-550580A3792F}"/>
              </c:ext>
            </c:extLst>
          </c:dPt>
          <c:dPt>
            <c:idx val="8"/>
            <c:invertIfNegative val="0"/>
            <c:bubble3D val="0"/>
            <c:spPr>
              <a:gradFill rotWithShape="0">
                <a:gsLst>
                  <a:gs pos="0">
                    <a:srgbClr val="E4FFBA"/>
                  </a:gs>
                  <a:gs pos="100000">
                    <a:srgbClr val="BBD68E"/>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90B0-D84A-91D8-550580A3792F}"/>
              </c:ext>
            </c:extLst>
          </c:dPt>
          <c:dPt>
            <c:idx val="9"/>
            <c:invertIfNegative val="0"/>
            <c:bubble3D val="0"/>
            <c:spPr>
              <a:gradFill rotWithShape="0">
                <a:gsLst>
                  <a:gs pos="0">
                    <a:srgbClr val="D6C5F1"/>
                  </a:gs>
                  <a:gs pos="100000">
                    <a:srgbClr val="A896C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90B0-D84A-91D8-550580A3792F}"/>
              </c:ext>
            </c:extLst>
          </c:dPt>
          <c:dPt>
            <c:idx val="10"/>
            <c:invertIfNegative val="0"/>
            <c:bubble3D val="0"/>
            <c:spPr>
              <a:gradFill rotWithShape="0">
                <a:gsLst>
                  <a:gs pos="0">
                    <a:srgbClr val="B2F1FF"/>
                  </a:gs>
                  <a:gs pos="100000">
                    <a:srgbClr val="87C8DF"/>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90B0-D84A-91D8-550580A3792F}"/>
              </c:ext>
            </c:extLst>
          </c:dPt>
          <c:cat>
            <c:strRef>
              <c:f>'Data Reduction Engine'!$B$864:$B$874</c:f>
              <c:strCache>
                <c:ptCount val="11"/>
                <c:pt idx="0">
                  <c:v>(206/205)m</c:v>
                </c:pt>
                <c:pt idx="1">
                  <c:v>(207/206)m</c:v>
                </c:pt>
                <c:pt idx="2">
                  <c:v>(204/206)m</c:v>
                </c:pt>
                <c:pt idx="3">
                  <c:v>FPb</c:v>
                </c:pt>
                <c:pt idx="4">
                  <c:v>206Pb blank</c:v>
                </c:pt>
                <c:pt idx="5">
                  <c:v>(206/204)b</c:v>
                </c:pt>
                <c:pt idx="6">
                  <c:v>(207/206)c</c:v>
                </c:pt>
                <c:pt idx="7">
                  <c:v>(206/204)c</c:v>
                </c:pt>
                <c:pt idx="8">
                  <c:v>(206/205)t</c:v>
                </c:pt>
                <c:pt idx="9">
                  <c:v>(207/206)t</c:v>
                </c:pt>
                <c:pt idx="10">
                  <c:v>(204/205)t</c:v>
                </c:pt>
              </c:strCache>
            </c:strRef>
          </c:cat>
          <c:val>
            <c:numRef>
              <c:f>'Data Reduction Engine'!$M$864:$M$874</c:f>
              <c:numCache>
                <c:formatCode>0.00%</c:formatCode>
                <c:ptCount val="11"/>
                <c:pt idx="0">
                  <c:v>1.5823846737322653E-5</c:v>
                </c:pt>
                <c:pt idx="1">
                  <c:v>4.8492974790042512E-4</c:v>
                </c:pt>
                <c:pt idx="2">
                  <c:v>0.18056032501831951</c:v>
                </c:pt>
                <c:pt idx="3">
                  <c:v>0.13475754897704023</c:v>
                </c:pt>
                <c:pt idx="4">
                  <c:v>1.9025813845385226E-2</c:v>
                </c:pt>
                <c:pt idx="5">
                  <c:v>0.66251453649091396</c:v>
                </c:pt>
                <c:pt idx="6">
                  <c:v>9.9999999999999995E-7</c:v>
                </c:pt>
                <c:pt idx="7">
                  <c:v>6.1321443550757842E-38</c:v>
                </c:pt>
                <c:pt idx="8">
                  <c:v>3.3106908551586929E-5</c:v>
                </c:pt>
                <c:pt idx="9">
                  <c:v>2.741513694116061E-12</c:v>
                </c:pt>
                <c:pt idx="10">
                  <c:v>2.6079151624101679E-3</c:v>
                </c:pt>
              </c:numCache>
            </c:numRef>
          </c:val>
          <c:extLst>
            <c:ext xmlns:c16="http://schemas.microsoft.com/office/drawing/2014/chart" uri="{C3380CC4-5D6E-409C-BE32-E72D297353CC}">
              <c16:uniqueId val="{0000000B-90B0-D84A-91D8-550580A3792F}"/>
            </c:ext>
          </c:extLst>
        </c:ser>
        <c:dLbls>
          <c:showLegendKey val="0"/>
          <c:showVal val="0"/>
          <c:showCatName val="0"/>
          <c:showSerName val="0"/>
          <c:showPercent val="0"/>
          <c:showBubbleSize val="0"/>
        </c:dLbls>
        <c:gapWidth val="0"/>
        <c:axId val="1052287280"/>
        <c:axId val="1"/>
      </c:barChart>
      <c:catAx>
        <c:axId val="1052287280"/>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5228728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8876896485500305"/>
          <c:y val="0.15778546712802805"/>
          <c:w val="0.76535740349529513"/>
          <c:h val="0.59972318339100306"/>
        </c:manualLayout>
      </c:layout>
      <c:barChart>
        <c:barDir val="col"/>
        <c:grouping val="clustered"/>
        <c:varyColors val="1"/>
        <c:ser>
          <c:idx val="0"/>
          <c:order val="0"/>
          <c:tx>
            <c:strRef>
              <c:f>'Data Reduction Engine'!$N$5</c:f>
              <c:strCache>
                <c:ptCount val="1"/>
                <c:pt idx="0">
                  <c:v>z3</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5BFF0"/>
                  </a:gs>
                  <a:gs pos="100000">
                    <a:srgbClr val="3268A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E2E3-C44F-B5CF-3EDA85DC6FCA}"/>
              </c:ext>
            </c:extLst>
          </c:dPt>
          <c:dPt>
            <c:idx val="1"/>
            <c:invertIfNegative val="0"/>
            <c:bubble3D val="0"/>
            <c:spPr>
              <a:gradFill rotWithShape="0">
                <a:gsLst>
                  <a:gs pos="0">
                    <a:srgbClr val="F2A5A4"/>
                  </a:gs>
                  <a:gs pos="100000">
                    <a:srgbClr val="AD333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E2E3-C44F-B5CF-3EDA85DC6FCA}"/>
              </c:ext>
            </c:extLst>
          </c:dPt>
          <c:dPt>
            <c:idx val="2"/>
            <c:invertIfNegative val="0"/>
            <c:bubble3D val="0"/>
            <c:spPr>
              <a:gradFill rotWithShape="0">
                <a:gsLst>
                  <a:gs pos="0">
                    <a:srgbClr val="D1EDA8"/>
                  </a:gs>
                  <a:gs pos="100000">
                    <a:srgbClr val="83A6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E2E3-C44F-B5CF-3EDA85DC6FCA}"/>
              </c:ext>
            </c:extLst>
          </c:dPt>
          <c:dPt>
            <c:idx val="3"/>
            <c:invertIfNegative val="0"/>
            <c:bubble3D val="0"/>
            <c:spPr>
              <a:gradFill rotWithShape="0">
                <a:gsLst>
                  <a:gs pos="0">
                    <a:srgbClr val="C4B4DD"/>
                  </a:gs>
                  <a:gs pos="100000">
                    <a:srgbClr val="68498D"/>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E2E3-C44F-B5CF-3EDA85DC6FCA}"/>
              </c:ext>
            </c:extLst>
          </c:dPt>
          <c:dPt>
            <c:idx val="4"/>
            <c:invertIfNegative val="0"/>
            <c:bubble3D val="0"/>
            <c:spPr>
              <a:gradFill rotWithShape="0">
                <a:gsLst>
                  <a:gs pos="0">
                    <a:srgbClr val="A1DDF6"/>
                  </a:gs>
                  <a:gs pos="100000">
                    <a:srgbClr val="2D96B3"/>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E2E3-C44F-B5CF-3EDA85DC6FCA}"/>
              </c:ext>
            </c:extLst>
          </c:dPt>
          <c:dPt>
            <c:idx val="5"/>
            <c:invertIfNegative val="0"/>
            <c:bubble3D val="0"/>
            <c:spPr>
              <a:gradFill rotWithShape="0">
                <a:gsLst>
                  <a:gs pos="0">
                    <a:srgbClr val="FFB88C"/>
                  </a:gs>
                  <a:gs pos="100000">
                    <a:srgbClr val="E2792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E2E3-C44F-B5CF-3EDA85DC6FCA}"/>
              </c:ext>
            </c:extLst>
          </c:dPt>
          <c:dPt>
            <c:idx val="6"/>
            <c:invertIfNegative val="0"/>
            <c:bubble3D val="0"/>
            <c:extLst>
              <c:ext xmlns:c16="http://schemas.microsoft.com/office/drawing/2014/chart" uri="{C3380CC4-5D6E-409C-BE32-E72D297353CC}">
                <c16:uniqueId val="{00000006-E2E3-C44F-B5CF-3EDA85DC6FCA}"/>
              </c:ext>
            </c:extLst>
          </c:dPt>
          <c:dPt>
            <c:idx val="7"/>
            <c:invertIfNegative val="0"/>
            <c:bubble3D val="0"/>
            <c:spPr>
              <a:gradFill rotWithShape="0">
                <a:gsLst>
                  <a:gs pos="0">
                    <a:srgbClr val="FF9A99"/>
                  </a:gs>
                  <a:gs pos="100000">
                    <a:srgbClr val="D140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E2E3-C44F-B5CF-3EDA85DC6FCA}"/>
              </c:ext>
            </c:extLst>
          </c:dPt>
          <c:dPt>
            <c:idx val="8"/>
            <c:invertIfNegative val="0"/>
            <c:bubble3D val="0"/>
            <c:spPr>
              <a:gradFill rotWithShape="0">
                <a:gsLst>
                  <a:gs pos="0">
                    <a:srgbClr val="DCFFA0"/>
                  </a:gs>
                  <a:gs pos="100000">
                    <a:srgbClr val="A0CA4A"/>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E2E3-C44F-B5CF-3EDA85DC6FCA}"/>
              </c:ext>
            </c:extLst>
          </c:dPt>
          <c:dPt>
            <c:idx val="9"/>
            <c:invertIfNegative val="0"/>
            <c:bubble3D val="0"/>
            <c:spPr>
              <a:gradFill rotWithShape="0">
                <a:gsLst>
                  <a:gs pos="0">
                    <a:srgbClr val="C8B0ED"/>
                  </a:gs>
                  <a:gs pos="100000">
                    <a:srgbClr val="7F5BA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E2E3-C44F-B5CF-3EDA85DC6FCA}"/>
              </c:ext>
            </c:extLst>
          </c:dPt>
          <c:dPt>
            <c:idx val="10"/>
            <c:invertIfNegative val="0"/>
            <c:bubble3D val="0"/>
            <c:spPr>
              <a:gradFill rotWithShape="0">
                <a:gsLst>
                  <a:gs pos="0">
                    <a:srgbClr val="95EEFF"/>
                  </a:gs>
                  <a:gs pos="100000">
                    <a:srgbClr val="39B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E2E3-C44F-B5CF-3EDA85DC6FCA}"/>
              </c:ext>
            </c:extLst>
          </c:dPt>
          <c:dPt>
            <c:idx val="11"/>
            <c:invertIfNegative val="0"/>
            <c:bubble3D val="0"/>
            <c:spPr>
              <a:gradFill rotWithShape="0">
                <a:gsLst>
                  <a:gs pos="0">
                    <a:srgbClr val="FFB977"/>
                  </a:gs>
                  <a:gs pos="100000">
                    <a:srgbClr val="FF932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B-E2E3-C44F-B5CF-3EDA85DC6FCA}"/>
              </c:ext>
            </c:extLst>
          </c:dPt>
          <c:cat>
            <c:strRef>
              <c:f>'Data Reduction Engine'!$B$838:$B$849</c:f>
              <c:strCache>
                <c:ptCount val="12"/>
                <c:pt idx="0">
                  <c:v>(206/205)m</c:v>
                </c:pt>
                <c:pt idx="1">
                  <c:v>(204/206)m</c:v>
                </c:pt>
                <c:pt idx="2">
                  <c:v>FPb</c:v>
                </c:pt>
                <c:pt idx="3">
                  <c:v>206Pb blank</c:v>
                </c:pt>
                <c:pt idx="4">
                  <c:v>(206/204)b</c:v>
                </c:pt>
                <c:pt idx="5">
                  <c:v>(206/204)c</c:v>
                </c:pt>
                <c:pt idx="6">
                  <c:v>(238/235)m</c:v>
                </c:pt>
                <c:pt idx="7">
                  <c:v>FU</c:v>
                </c:pt>
                <c:pt idx="8">
                  <c:v>238U blank</c:v>
                </c:pt>
                <c:pt idx="9">
                  <c:v>(Th/U)zircon</c:v>
                </c:pt>
                <c:pt idx="10">
                  <c:v>(Th/U)magma</c:v>
                </c:pt>
                <c:pt idx="11">
                  <c:v>(Th/U)initial</c:v>
                </c:pt>
              </c:strCache>
            </c:strRef>
          </c:cat>
          <c:val>
            <c:numRef>
              <c:f>'Data Reduction Engine'!$N$838:$N$849</c:f>
              <c:numCache>
                <c:formatCode>0.00%</c:formatCode>
                <c:ptCount val="12"/>
                <c:pt idx="0">
                  <c:v>5.1903262278348461E-2</c:v>
                </c:pt>
                <c:pt idx="1">
                  <c:v>6.6735258109009658E-3</c:v>
                </c:pt>
                <c:pt idx="2">
                  <c:v>0.76469454470673237</c:v>
                </c:pt>
                <c:pt idx="3">
                  <c:v>2.5375286578073177E-2</c:v>
                </c:pt>
                <c:pt idx="4">
                  <c:v>1.8511521012171177E-2</c:v>
                </c:pt>
                <c:pt idx="5">
                  <c:v>9.9999999999999995E-7</c:v>
                </c:pt>
                <c:pt idx="6">
                  <c:v>4.5823721448425784E-3</c:v>
                </c:pt>
                <c:pt idx="7">
                  <c:v>6.454562254533186E-2</c:v>
                </c:pt>
                <c:pt idx="8">
                  <c:v>4.4194116501104639E-4</c:v>
                </c:pt>
                <c:pt idx="9">
                  <c:v>6.0753659536969005E-6</c:v>
                </c:pt>
                <c:pt idx="10">
                  <c:v>5.8042062745536395E-2</c:v>
                </c:pt>
                <c:pt idx="11">
                  <c:v>5.2237856470982759E-3</c:v>
                </c:pt>
              </c:numCache>
            </c:numRef>
          </c:val>
          <c:extLst>
            <c:ext xmlns:c16="http://schemas.microsoft.com/office/drawing/2014/chart" uri="{C3380CC4-5D6E-409C-BE32-E72D297353CC}">
              <c16:uniqueId val="{0000000C-E2E3-C44F-B5CF-3EDA85DC6FCA}"/>
            </c:ext>
          </c:extLst>
        </c:ser>
        <c:dLbls>
          <c:showLegendKey val="0"/>
          <c:showVal val="0"/>
          <c:showCatName val="0"/>
          <c:showSerName val="0"/>
          <c:showPercent val="0"/>
          <c:showBubbleSize val="0"/>
        </c:dLbls>
        <c:gapWidth val="0"/>
        <c:axId val="1013669584"/>
        <c:axId val="1"/>
      </c:barChart>
      <c:catAx>
        <c:axId val="1013669584"/>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136695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5225657768388698"/>
          <c:y val="0.15833333333333305"/>
          <c:w val="0.68669982715575228"/>
          <c:h val="0.64123496281714798"/>
        </c:manualLayout>
      </c:layout>
      <c:barChart>
        <c:barDir val="col"/>
        <c:grouping val="clustered"/>
        <c:varyColors val="1"/>
        <c:ser>
          <c:idx val="0"/>
          <c:order val="0"/>
          <c:tx>
            <c:strRef>
              <c:f>'Data Reduction Engine'!$N$5</c:f>
              <c:strCache>
                <c:ptCount val="1"/>
                <c:pt idx="0">
                  <c:v>z3</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2BFF8"/>
                  </a:gs>
                  <a:gs pos="100000">
                    <a:srgbClr val="3670B6"/>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93F8-0B4B-B4CF-0958ABF9AFDB}"/>
              </c:ext>
            </c:extLst>
          </c:dPt>
          <c:dPt>
            <c:idx val="1"/>
            <c:invertIfNegative val="0"/>
            <c:bubble3D val="0"/>
            <c:spPr>
              <a:gradFill rotWithShape="0">
                <a:gsLst>
                  <a:gs pos="0">
                    <a:srgbClr val="FAA1A0"/>
                  </a:gs>
                  <a:gs pos="100000">
                    <a:srgbClr val="B93734"/>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93F8-0B4B-B4CF-0958ABF9AFDB}"/>
              </c:ext>
            </c:extLst>
          </c:dPt>
          <c:dPt>
            <c:idx val="2"/>
            <c:invertIfNegative val="0"/>
            <c:bubble3D val="0"/>
            <c:spPr>
              <a:gradFill rotWithShape="0">
                <a:gsLst>
                  <a:gs pos="0">
                    <a:srgbClr val="D4F4A6"/>
                  </a:gs>
                  <a:gs pos="100000">
                    <a:srgbClr val="8DB241"/>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93F8-0B4B-B4CF-0958ABF9AFDB}"/>
              </c:ext>
            </c:extLst>
          </c:dPt>
          <c:dPt>
            <c:idx val="3"/>
            <c:invertIfNegative val="0"/>
            <c:bubble3D val="0"/>
            <c:spPr>
              <a:gradFill rotWithShape="0">
                <a:gsLst>
                  <a:gs pos="0">
                    <a:srgbClr val="C5B3E2"/>
                  </a:gs>
                  <a:gs pos="100000">
                    <a:srgbClr val="704F97"/>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93F8-0B4B-B4CF-0958ABF9AFDB}"/>
              </c:ext>
            </c:extLst>
          </c:dPt>
          <c:dPt>
            <c:idx val="4"/>
            <c:invertIfNegative val="0"/>
            <c:bubble3D val="0"/>
            <c:spPr>
              <a:gradFill rotWithShape="0">
                <a:gsLst>
                  <a:gs pos="0">
                    <a:srgbClr val="9DE2FF"/>
                  </a:gs>
                  <a:gs pos="100000">
                    <a:srgbClr val="31A1C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93F8-0B4B-B4CF-0958ABF9AFDB}"/>
              </c:ext>
            </c:extLst>
          </c:dPt>
          <c:dPt>
            <c:idx val="5"/>
            <c:invertIfNegative val="0"/>
            <c:bubble3D val="0"/>
            <c:spPr>
              <a:gradFill rotWithShape="0">
                <a:gsLst>
                  <a:gs pos="0">
                    <a:srgbClr val="FFB885"/>
                  </a:gs>
                  <a:gs pos="100000">
                    <a:srgbClr val="F28225"/>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93F8-0B4B-B4CF-0958ABF9AFDB}"/>
              </c:ext>
            </c:extLst>
          </c:dPt>
          <c:dPt>
            <c:idx val="6"/>
            <c:invertIfNegative val="0"/>
            <c:bubble3D val="0"/>
            <c:spPr>
              <a:gradFill rotWithShape="0">
                <a:gsLst>
                  <a:gs pos="0">
                    <a:srgbClr val="B6D1FF"/>
                  </a:gs>
                  <a:gs pos="100000">
                    <a:srgbClr val="8AA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6-93F8-0B4B-B4CF-0958ABF9AFDB}"/>
              </c:ext>
            </c:extLst>
          </c:dPt>
          <c:dPt>
            <c:idx val="7"/>
            <c:invertIfNegative val="0"/>
            <c:bubble3D val="0"/>
            <c:spPr>
              <a:gradFill rotWithShape="0">
                <a:gsLst>
                  <a:gs pos="0">
                    <a:srgbClr val="FFB6B4"/>
                  </a:gs>
                  <a:gs pos="100000">
                    <a:srgbClr val="DA8A8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93F8-0B4B-B4CF-0958ABF9AFDB}"/>
              </c:ext>
            </c:extLst>
          </c:dPt>
          <c:dPt>
            <c:idx val="8"/>
            <c:invertIfNegative val="0"/>
            <c:bubble3D val="0"/>
            <c:spPr>
              <a:gradFill rotWithShape="0">
                <a:gsLst>
                  <a:gs pos="0">
                    <a:srgbClr val="E4FFBA"/>
                  </a:gs>
                  <a:gs pos="100000">
                    <a:srgbClr val="BBD68E"/>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93F8-0B4B-B4CF-0958ABF9AFDB}"/>
              </c:ext>
            </c:extLst>
          </c:dPt>
          <c:dPt>
            <c:idx val="9"/>
            <c:invertIfNegative val="0"/>
            <c:bubble3D val="0"/>
            <c:spPr>
              <a:gradFill rotWithShape="0">
                <a:gsLst>
                  <a:gs pos="0">
                    <a:srgbClr val="D6C5F1"/>
                  </a:gs>
                  <a:gs pos="100000">
                    <a:srgbClr val="A896C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93F8-0B4B-B4CF-0958ABF9AFDB}"/>
              </c:ext>
            </c:extLst>
          </c:dPt>
          <c:dPt>
            <c:idx val="10"/>
            <c:invertIfNegative val="0"/>
            <c:bubble3D val="0"/>
            <c:spPr>
              <a:gradFill rotWithShape="0">
                <a:gsLst>
                  <a:gs pos="0">
                    <a:srgbClr val="B2F1FF"/>
                  </a:gs>
                  <a:gs pos="100000">
                    <a:srgbClr val="87C8DF"/>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93F8-0B4B-B4CF-0958ABF9AFDB}"/>
              </c:ext>
            </c:extLst>
          </c:dPt>
          <c:cat>
            <c:strRef>
              <c:f>'Data Reduction Engine'!$B$864:$B$874</c:f>
              <c:strCache>
                <c:ptCount val="11"/>
                <c:pt idx="0">
                  <c:v>(206/205)m</c:v>
                </c:pt>
                <c:pt idx="1">
                  <c:v>(207/206)m</c:v>
                </c:pt>
                <c:pt idx="2">
                  <c:v>(204/206)m</c:v>
                </c:pt>
                <c:pt idx="3">
                  <c:v>FPb</c:v>
                </c:pt>
                <c:pt idx="4">
                  <c:v>206Pb blank</c:v>
                </c:pt>
                <c:pt idx="5">
                  <c:v>(206/204)b</c:v>
                </c:pt>
                <c:pt idx="6">
                  <c:v>(207/206)c</c:v>
                </c:pt>
                <c:pt idx="7">
                  <c:v>(206/204)c</c:v>
                </c:pt>
                <c:pt idx="8">
                  <c:v>(206/205)t</c:v>
                </c:pt>
                <c:pt idx="9">
                  <c:v>(207/206)t</c:v>
                </c:pt>
                <c:pt idx="10">
                  <c:v>(204/205)t</c:v>
                </c:pt>
              </c:strCache>
            </c:strRef>
          </c:cat>
          <c:val>
            <c:numRef>
              <c:f>'Data Reduction Engine'!$N$864:$N$874</c:f>
              <c:numCache>
                <c:formatCode>0.00%</c:formatCode>
                <c:ptCount val="11"/>
                <c:pt idx="0">
                  <c:v>6.6680810005955246E-6</c:v>
                </c:pt>
                <c:pt idx="1">
                  <c:v>9.3494813781345683E-4</c:v>
                </c:pt>
                <c:pt idx="2">
                  <c:v>0.21240175109474299</c:v>
                </c:pt>
                <c:pt idx="3">
                  <c:v>0.17691128217798127</c:v>
                </c:pt>
                <c:pt idx="4">
                  <c:v>1.6928866566763085E-2</c:v>
                </c:pt>
                <c:pt idx="5">
                  <c:v>0.5891757355594105</c:v>
                </c:pt>
                <c:pt idx="6">
                  <c:v>9.9999999999999995E-7</c:v>
                </c:pt>
                <c:pt idx="7">
                  <c:v>3.9518399801956593E-38</c:v>
                </c:pt>
                <c:pt idx="8">
                  <c:v>4.5639896779684435E-5</c:v>
                </c:pt>
                <c:pt idx="9">
                  <c:v>3.7789326326273701E-12</c:v>
                </c:pt>
                <c:pt idx="10">
                  <c:v>3.5951084817293756E-3</c:v>
                </c:pt>
              </c:numCache>
            </c:numRef>
          </c:val>
          <c:extLst>
            <c:ext xmlns:c16="http://schemas.microsoft.com/office/drawing/2014/chart" uri="{C3380CC4-5D6E-409C-BE32-E72D297353CC}">
              <c16:uniqueId val="{0000000B-93F8-0B4B-B4CF-0958ABF9AFDB}"/>
            </c:ext>
          </c:extLst>
        </c:ser>
        <c:dLbls>
          <c:showLegendKey val="0"/>
          <c:showVal val="0"/>
          <c:showCatName val="0"/>
          <c:showSerName val="0"/>
          <c:showPercent val="0"/>
          <c:showBubbleSize val="0"/>
        </c:dLbls>
        <c:gapWidth val="0"/>
        <c:axId val="1051759328"/>
        <c:axId val="1"/>
      </c:barChart>
      <c:catAx>
        <c:axId val="1051759328"/>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517593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8876896485500305"/>
          <c:y val="0.15778546712802805"/>
          <c:w val="0.76535740349529513"/>
          <c:h val="0.59972318339100306"/>
        </c:manualLayout>
      </c:layout>
      <c:barChart>
        <c:barDir val="col"/>
        <c:grouping val="clustered"/>
        <c:varyColors val="1"/>
        <c:ser>
          <c:idx val="0"/>
          <c:order val="0"/>
          <c:tx>
            <c:strRef>
              <c:f>'Data Reduction Engine'!$O$5</c:f>
              <c:strCache>
                <c:ptCount val="1"/>
                <c:pt idx="0">
                  <c:v>z4</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5BFF0"/>
                  </a:gs>
                  <a:gs pos="100000">
                    <a:srgbClr val="3268A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65FE-2D4F-B8B3-52FD62B87B29}"/>
              </c:ext>
            </c:extLst>
          </c:dPt>
          <c:dPt>
            <c:idx val="1"/>
            <c:invertIfNegative val="0"/>
            <c:bubble3D val="0"/>
            <c:spPr>
              <a:gradFill rotWithShape="0">
                <a:gsLst>
                  <a:gs pos="0">
                    <a:srgbClr val="F2A5A4"/>
                  </a:gs>
                  <a:gs pos="100000">
                    <a:srgbClr val="AD333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65FE-2D4F-B8B3-52FD62B87B29}"/>
              </c:ext>
            </c:extLst>
          </c:dPt>
          <c:dPt>
            <c:idx val="2"/>
            <c:invertIfNegative val="0"/>
            <c:bubble3D val="0"/>
            <c:spPr>
              <a:gradFill rotWithShape="0">
                <a:gsLst>
                  <a:gs pos="0">
                    <a:srgbClr val="D1EDA8"/>
                  </a:gs>
                  <a:gs pos="100000">
                    <a:srgbClr val="83A6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65FE-2D4F-B8B3-52FD62B87B29}"/>
              </c:ext>
            </c:extLst>
          </c:dPt>
          <c:dPt>
            <c:idx val="3"/>
            <c:invertIfNegative val="0"/>
            <c:bubble3D val="0"/>
            <c:spPr>
              <a:gradFill rotWithShape="0">
                <a:gsLst>
                  <a:gs pos="0">
                    <a:srgbClr val="C4B4DD"/>
                  </a:gs>
                  <a:gs pos="100000">
                    <a:srgbClr val="68498D"/>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65FE-2D4F-B8B3-52FD62B87B29}"/>
              </c:ext>
            </c:extLst>
          </c:dPt>
          <c:dPt>
            <c:idx val="4"/>
            <c:invertIfNegative val="0"/>
            <c:bubble3D val="0"/>
            <c:spPr>
              <a:gradFill rotWithShape="0">
                <a:gsLst>
                  <a:gs pos="0">
                    <a:srgbClr val="A1DDF6"/>
                  </a:gs>
                  <a:gs pos="100000">
                    <a:srgbClr val="2D96B3"/>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65FE-2D4F-B8B3-52FD62B87B29}"/>
              </c:ext>
            </c:extLst>
          </c:dPt>
          <c:dPt>
            <c:idx val="5"/>
            <c:invertIfNegative val="0"/>
            <c:bubble3D val="0"/>
            <c:spPr>
              <a:gradFill rotWithShape="0">
                <a:gsLst>
                  <a:gs pos="0">
                    <a:srgbClr val="FFB88C"/>
                  </a:gs>
                  <a:gs pos="100000">
                    <a:srgbClr val="E2792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65FE-2D4F-B8B3-52FD62B87B29}"/>
              </c:ext>
            </c:extLst>
          </c:dPt>
          <c:dPt>
            <c:idx val="6"/>
            <c:invertIfNegative val="0"/>
            <c:bubble3D val="0"/>
            <c:extLst>
              <c:ext xmlns:c16="http://schemas.microsoft.com/office/drawing/2014/chart" uri="{C3380CC4-5D6E-409C-BE32-E72D297353CC}">
                <c16:uniqueId val="{00000006-65FE-2D4F-B8B3-52FD62B87B29}"/>
              </c:ext>
            </c:extLst>
          </c:dPt>
          <c:dPt>
            <c:idx val="7"/>
            <c:invertIfNegative val="0"/>
            <c:bubble3D val="0"/>
            <c:spPr>
              <a:gradFill rotWithShape="0">
                <a:gsLst>
                  <a:gs pos="0">
                    <a:srgbClr val="FF9A99"/>
                  </a:gs>
                  <a:gs pos="100000">
                    <a:srgbClr val="D140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65FE-2D4F-B8B3-52FD62B87B29}"/>
              </c:ext>
            </c:extLst>
          </c:dPt>
          <c:dPt>
            <c:idx val="8"/>
            <c:invertIfNegative val="0"/>
            <c:bubble3D val="0"/>
            <c:spPr>
              <a:gradFill rotWithShape="0">
                <a:gsLst>
                  <a:gs pos="0">
                    <a:srgbClr val="DCFFA0"/>
                  </a:gs>
                  <a:gs pos="100000">
                    <a:srgbClr val="A0CA4A"/>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65FE-2D4F-B8B3-52FD62B87B29}"/>
              </c:ext>
            </c:extLst>
          </c:dPt>
          <c:dPt>
            <c:idx val="9"/>
            <c:invertIfNegative val="0"/>
            <c:bubble3D val="0"/>
            <c:spPr>
              <a:gradFill rotWithShape="0">
                <a:gsLst>
                  <a:gs pos="0">
                    <a:srgbClr val="C8B0ED"/>
                  </a:gs>
                  <a:gs pos="100000">
                    <a:srgbClr val="7F5BA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65FE-2D4F-B8B3-52FD62B87B29}"/>
              </c:ext>
            </c:extLst>
          </c:dPt>
          <c:dPt>
            <c:idx val="10"/>
            <c:invertIfNegative val="0"/>
            <c:bubble3D val="0"/>
            <c:spPr>
              <a:gradFill rotWithShape="0">
                <a:gsLst>
                  <a:gs pos="0">
                    <a:srgbClr val="95EEFF"/>
                  </a:gs>
                  <a:gs pos="100000">
                    <a:srgbClr val="39B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65FE-2D4F-B8B3-52FD62B87B29}"/>
              </c:ext>
            </c:extLst>
          </c:dPt>
          <c:dPt>
            <c:idx val="11"/>
            <c:invertIfNegative val="0"/>
            <c:bubble3D val="0"/>
            <c:spPr>
              <a:gradFill rotWithShape="0">
                <a:gsLst>
                  <a:gs pos="0">
                    <a:srgbClr val="FFB977"/>
                  </a:gs>
                  <a:gs pos="100000">
                    <a:srgbClr val="FF932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B-65FE-2D4F-B8B3-52FD62B87B29}"/>
              </c:ext>
            </c:extLst>
          </c:dPt>
          <c:cat>
            <c:strRef>
              <c:f>'Data Reduction Engine'!$B$838:$B$849</c:f>
              <c:strCache>
                <c:ptCount val="12"/>
                <c:pt idx="0">
                  <c:v>(206/205)m</c:v>
                </c:pt>
                <c:pt idx="1">
                  <c:v>(204/206)m</c:v>
                </c:pt>
                <c:pt idx="2">
                  <c:v>FPb</c:v>
                </c:pt>
                <c:pt idx="3">
                  <c:v>206Pb blank</c:v>
                </c:pt>
                <c:pt idx="4">
                  <c:v>(206/204)b</c:v>
                </c:pt>
                <c:pt idx="5">
                  <c:v>(206/204)c</c:v>
                </c:pt>
                <c:pt idx="6">
                  <c:v>(238/235)m</c:v>
                </c:pt>
                <c:pt idx="7">
                  <c:v>FU</c:v>
                </c:pt>
                <c:pt idx="8">
                  <c:v>238U blank</c:v>
                </c:pt>
                <c:pt idx="9">
                  <c:v>(Th/U)zircon</c:v>
                </c:pt>
                <c:pt idx="10">
                  <c:v>(Th/U)magma</c:v>
                </c:pt>
                <c:pt idx="11">
                  <c:v>(Th/U)initial</c:v>
                </c:pt>
              </c:strCache>
            </c:strRef>
          </c:cat>
          <c:val>
            <c:numRef>
              <c:f>'Data Reduction Engine'!$O$838:$O$849</c:f>
              <c:numCache>
                <c:formatCode>0.00%</c:formatCode>
                <c:ptCount val="12"/>
                <c:pt idx="0">
                  <c:v>4.8648688099061262E-2</c:v>
                </c:pt>
                <c:pt idx="1">
                  <c:v>1.6355674515298638E-2</c:v>
                </c:pt>
                <c:pt idx="2">
                  <c:v>0.58803409726421563</c:v>
                </c:pt>
                <c:pt idx="3">
                  <c:v>0.14480624499711101</c:v>
                </c:pt>
                <c:pt idx="4">
                  <c:v>0.10563757925295407</c:v>
                </c:pt>
                <c:pt idx="5">
                  <c:v>9.9999999999999995E-7</c:v>
                </c:pt>
                <c:pt idx="6">
                  <c:v>5.0370272350233614E-3</c:v>
                </c:pt>
                <c:pt idx="7">
                  <c:v>4.7765568510367486E-2</c:v>
                </c:pt>
                <c:pt idx="8">
                  <c:v>4.6930680128170078E-3</c:v>
                </c:pt>
                <c:pt idx="9">
                  <c:v>1.5209922719441083E-5</c:v>
                </c:pt>
                <c:pt idx="10">
                  <c:v>3.5786093752690096E-2</c:v>
                </c:pt>
                <c:pt idx="11">
                  <c:v>3.2207484377421093E-3</c:v>
                </c:pt>
              </c:numCache>
            </c:numRef>
          </c:val>
          <c:extLst>
            <c:ext xmlns:c16="http://schemas.microsoft.com/office/drawing/2014/chart" uri="{C3380CC4-5D6E-409C-BE32-E72D297353CC}">
              <c16:uniqueId val="{0000000C-65FE-2D4F-B8B3-52FD62B87B29}"/>
            </c:ext>
          </c:extLst>
        </c:ser>
        <c:dLbls>
          <c:showLegendKey val="0"/>
          <c:showVal val="0"/>
          <c:showCatName val="0"/>
          <c:showSerName val="0"/>
          <c:showPercent val="0"/>
          <c:showBubbleSize val="0"/>
        </c:dLbls>
        <c:gapWidth val="0"/>
        <c:axId val="1052342272"/>
        <c:axId val="1"/>
      </c:barChart>
      <c:catAx>
        <c:axId val="1052342272"/>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523422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5225657768388698"/>
          <c:y val="0.15833333333333305"/>
          <c:w val="0.68669982715575228"/>
          <c:h val="0.64123496281714798"/>
        </c:manualLayout>
      </c:layout>
      <c:barChart>
        <c:barDir val="col"/>
        <c:grouping val="clustered"/>
        <c:varyColors val="1"/>
        <c:ser>
          <c:idx val="0"/>
          <c:order val="0"/>
          <c:tx>
            <c:strRef>
              <c:f>'Data Reduction Engine'!$O$5</c:f>
              <c:strCache>
                <c:ptCount val="1"/>
                <c:pt idx="0">
                  <c:v>z4</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2BFF8"/>
                  </a:gs>
                  <a:gs pos="100000">
                    <a:srgbClr val="3670B6"/>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151D-E04A-BFC4-EDB009EAD162}"/>
              </c:ext>
            </c:extLst>
          </c:dPt>
          <c:dPt>
            <c:idx val="1"/>
            <c:invertIfNegative val="0"/>
            <c:bubble3D val="0"/>
            <c:spPr>
              <a:gradFill rotWithShape="0">
                <a:gsLst>
                  <a:gs pos="0">
                    <a:srgbClr val="FAA1A0"/>
                  </a:gs>
                  <a:gs pos="100000">
                    <a:srgbClr val="B93734"/>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151D-E04A-BFC4-EDB009EAD162}"/>
              </c:ext>
            </c:extLst>
          </c:dPt>
          <c:dPt>
            <c:idx val="2"/>
            <c:invertIfNegative val="0"/>
            <c:bubble3D val="0"/>
            <c:spPr>
              <a:gradFill rotWithShape="0">
                <a:gsLst>
                  <a:gs pos="0">
                    <a:srgbClr val="D4F4A6"/>
                  </a:gs>
                  <a:gs pos="100000">
                    <a:srgbClr val="8DB241"/>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151D-E04A-BFC4-EDB009EAD162}"/>
              </c:ext>
            </c:extLst>
          </c:dPt>
          <c:dPt>
            <c:idx val="3"/>
            <c:invertIfNegative val="0"/>
            <c:bubble3D val="0"/>
            <c:spPr>
              <a:gradFill rotWithShape="0">
                <a:gsLst>
                  <a:gs pos="0">
                    <a:srgbClr val="C5B3E2"/>
                  </a:gs>
                  <a:gs pos="100000">
                    <a:srgbClr val="704F97"/>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151D-E04A-BFC4-EDB009EAD162}"/>
              </c:ext>
            </c:extLst>
          </c:dPt>
          <c:dPt>
            <c:idx val="4"/>
            <c:invertIfNegative val="0"/>
            <c:bubble3D val="0"/>
            <c:spPr>
              <a:gradFill rotWithShape="0">
                <a:gsLst>
                  <a:gs pos="0">
                    <a:srgbClr val="9DE2FF"/>
                  </a:gs>
                  <a:gs pos="100000">
                    <a:srgbClr val="31A1C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151D-E04A-BFC4-EDB009EAD162}"/>
              </c:ext>
            </c:extLst>
          </c:dPt>
          <c:dPt>
            <c:idx val="5"/>
            <c:invertIfNegative val="0"/>
            <c:bubble3D val="0"/>
            <c:spPr>
              <a:gradFill rotWithShape="0">
                <a:gsLst>
                  <a:gs pos="0">
                    <a:srgbClr val="FFB885"/>
                  </a:gs>
                  <a:gs pos="100000">
                    <a:srgbClr val="F28225"/>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151D-E04A-BFC4-EDB009EAD162}"/>
              </c:ext>
            </c:extLst>
          </c:dPt>
          <c:dPt>
            <c:idx val="6"/>
            <c:invertIfNegative val="0"/>
            <c:bubble3D val="0"/>
            <c:spPr>
              <a:gradFill rotWithShape="0">
                <a:gsLst>
                  <a:gs pos="0">
                    <a:srgbClr val="B6D1FF"/>
                  </a:gs>
                  <a:gs pos="100000">
                    <a:srgbClr val="8AA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6-151D-E04A-BFC4-EDB009EAD162}"/>
              </c:ext>
            </c:extLst>
          </c:dPt>
          <c:dPt>
            <c:idx val="7"/>
            <c:invertIfNegative val="0"/>
            <c:bubble3D val="0"/>
            <c:spPr>
              <a:gradFill rotWithShape="0">
                <a:gsLst>
                  <a:gs pos="0">
                    <a:srgbClr val="FFB6B4"/>
                  </a:gs>
                  <a:gs pos="100000">
                    <a:srgbClr val="DA8A8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151D-E04A-BFC4-EDB009EAD162}"/>
              </c:ext>
            </c:extLst>
          </c:dPt>
          <c:dPt>
            <c:idx val="8"/>
            <c:invertIfNegative val="0"/>
            <c:bubble3D val="0"/>
            <c:spPr>
              <a:gradFill rotWithShape="0">
                <a:gsLst>
                  <a:gs pos="0">
                    <a:srgbClr val="E4FFBA"/>
                  </a:gs>
                  <a:gs pos="100000">
                    <a:srgbClr val="BBD68E"/>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151D-E04A-BFC4-EDB009EAD162}"/>
              </c:ext>
            </c:extLst>
          </c:dPt>
          <c:dPt>
            <c:idx val="9"/>
            <c:invertIfNegative val="0"/>
            <c:bubble3D val="0"/>
            <c:spPr>
              <a:gradFill rotWithShape="0">
                <a:gsLst>
                  <a:gs pos="0">
                    <a:srgbClr val="D6C5F1"/>
                  </a:gs>
                  <a:gs pos="100000">
                    <a:srgbClr val="A896C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151D-E04A-BFC4-EDB009EAD162}"/>
              </c:ext>
            </c:extLst>
          </c:dPt>
          <c:dPt>
            <c:idx val="10"/>
            <c:invertIfNegative val="0"/>
            <c:bubble3D val="0"/>
            <c:spPr>
              <a:gradFill rotWithShape="0">
                <a:gsLst>
                  <a:gs pos="0">
                    <a:srgbClr val="B2F1FF"/>
                  </a:gs>
                  <a:gs pos="100000">
                    <a:srgbClr val="87C8DF"/>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151D-E04A-BFC4-EDB009EAD162}"/>
              </c:ext>
            </c:extLst>
          </c:dPt>
          <c:cat>
            <c:strRef>
              <c:f>'Data Reduction Engine'!$B$864:$B$874</c:f>
              <c:strCache>
                <c:ptCount val="11"/>
                <c:pt idx="0">
                  <c:v>(206/205)m</c:v>
                </c:pt>
                <c:pt idx="1">
                  <c:v>(207/206)m</c:v>
                </c:pt>
                <c:pt idx="2">
                  <c:v>(204/206)m</c:v>
                </c:pt>
                <c:pt idx="3">
                  <c:v>FPb</c:v>
                </c:pt>
                <c:pt idx="4">
                  <c:v>206Pb blank</c:v>
                </c:pt>
                <c:pt idx="5">
                  <c:v>(206/204)b</c:v>
                </c:pt>
                <c:pt idx="6">
                  <c:v>(207/206)c</c:v>
                </c:pt>
                <c:pt idx="7">
                  <c:v>(206/204)c</c:v>
                </c:pt>
                <c:pt idx="8">
                  <c:v>(206/205)t</c:v>
                </c:pt>
                <c:pt idx="9">
                  <c:v>(207/206)t</c:v>
                </c:pt>
                <c:pt idx="10">
                  <c:v>(204/205)t</c:v>
                </c:pt>
              </c:strCache>
            </c:strRef>
          </c:cat>
          <c:val>
            <c:numRef>
              <c:f>'Data Reduction Engine'!$O$864:$O$874</c:f>
              <c:numCache>
                <c:formatCode>0.00%</c:formatCode>
                <c:ptCount val="11"/>
                <c:pt idx="0">
                  <c:v>4.5048226178913182E-6</c:v>
                </c:pt>
                <c:pt idx="1">
                  <c:v>1.8535862241187448E-3</c:v>
                </c:pt>
                <c:pt idx="2">
                  <c:v>0.12119946457963107</c:v>
                </c:pt>
                <c:pt idx="3">
                  <c:v>6.9782280858084758E-2</c:v>
                </c:pt>
                <c:pt idx="4">
                  <c:v>2.250113951542226E-2</c:v>
                </c:pt>
                <c:pt idx="5">
                  <c:v>0.78279975753800946</c:v>
                </c:pt>
                <c:pt idx="6">
                  <c:v>9.9999999999999995E-7</c:v>
                </c:pt>
                <c:pt idx="7">
                  <c:v>8.9087003375546808E-38</c:v>
                </c:pt>
                <c:pt idx="8">
                  <c:v>2.3307784378117293E-5</c:v>
                </c:pt>
                <c:pt idx="9">
                  <c:v>1.9297059407011388E-12</c:v>
                </c:pt>
                <c:pt idx="10">
                  <c:v>1.835958675808033E-3</c:v>
                </c:pt>
              </c:numCache>
            </c:numRef>
          </c:val>
          <c:extLst>
            <c:ext xmlns:c16="http://schemas.microsoft.com/office/drawing/2014/chart" uri="{C3380CC4-5D6E-409C-BE32-E72D297353CC}">
              <c16:uniqueId val="{0000000B-151D-E04A-BFC4-EDB009EAD162}"/>
            </c:ext>
          </c:extLst>
        </c:ser>
        <c:dLbls>
          <c:showLegendKey val="0"/>
          <c:showVal val="0"/>
          <c:showCatName val="0"/>
          <c:showSerName val="0"/>
          <c:showPercent val="0"/>
          <c:showBubbleSize val="0"/>
        </c:dLbls>
        <c:gapWidth val="0"/>
        <c:axId val="1052404464"/>
        <c:axId val="1"/>
      </c:barChart>
      <c:catAx>
        <c:axId val="1052404464"/>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524044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8876896485500305"/>
          <c:y val="0.15778546712802805"/>
          <c:w val="0.76535740349529513"/>
          <c:h val="0.59972318339100306"/>
        </c:manualLayout>
      </c:layout>
      <c:barChart>
        <c:barDir val="col"/>
        <c:grouping val="clustered"/>
        <c:varyColors val="1"/>
        <c:ser>
          <c:idx val="0"/>
          <c:order val="0"/>
          <c:tx>
            <c:strRef>
              <c:f>'Data Reduction Engine'!$P$5</c:f>
              <c:strCache>
                <c:ptCount val="1"/>
                <c:pt idx="0">
                  <c:v>z5</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5BFF0"/>
                  </a:gs>
                  <a:gs pos="100000">
                    <a:srgbClr val="3268A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5C44-FD4A-A711-B39A45FB03BB}"/>
              </c:ext>
            </c:extLst>
          </c:dPt>
          <c:dPt>
            <c:idx val="1"/>
            <c:invertIfNegative val="0"/>
            <c:bubble3D val="0"/>
            <c:spPr>
              <a:gradFill rotWithShape="0">
                <a:gsLst>
                  <a:gs pos="0">
                    <a:srgbClr val="F2A5A4"/>
                  </a:gs>
                  <a:gs pos="100000">
                    <a:srgbClr val="AD333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5C44-FD4A-A711-B39A45FB03BB}"/>
              </c:ext>
            </c:extLst>
          </c:dPt>
          <c:dPt>
            <c:idx val="2"/>
            <c:invertIfNegative val="0"/>
            <c:bubble3D val="0"/>
            <c:spPr>
              <a:gradFill rotWithShape="0">
                <a:gsLst>
                  <a:gs pos="0">
                    <a:srgbClr val="D1EDA8"/>
                  </a:gs>
                  <a:gs pos="100000">
                    <a:srgbClr val="83A6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5C44-FD4A-A711-B39A45FB03BB}"/>
              </c:ext>
            </c:extLst>
          </c:dPt>
          <c:dPt>
            <c:idx val="3"/>
            <c:invertIfNegative val="0"/>
            <c:bubble3D val="0"/>
            <c:spPr>
              <a:gradFill rotWithShape="0">
                <a:gsLst>
                  <a:gs pos="0">
                    <a:srgbClr val="C4B4DD"/>
                  </a:gs>
                  <a:gs pos="100000">
                    <a:srgbClr val="68498D"/>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5C44-FD4A-A711-B39A45FB03BB}"/>
              </c:ext>
            </c:extLst>
          </c:dPt>
          <c:dPt>
            <c:idx val="4"/>
            <c:invertIfNegative val="0"/>
            <c:bubble3D val="0"/>
            <c:spPr>
              <a:gradFill rotWithShape="0">
                <a:gsLst>
                  <a:gs pos="0">
                    <a:srgbClr val="A1DDF6"/>
                  </a:gs>
                  <a:gs pos="100000">
                    <a:srgbClr val="2D96B3"/>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5C44-FD4A-A711-B39A45FB03BB}"/>
              </c:ext>
            </c:extLst>
          </c:dPt>
          <c:dPt>
            <c:idx val="5"/>
            <c:invertIfNegative val="0"/>
            <c:bubble3D val="0"/>
            <c:spPr>
              <a:gradFill rotWithShape="0">
                <a:gsLst>
                  <a:gs pos="0">
                    <a:srgbClr val="FFB88C"/>
                  </a:gs>
                  <a:gs pos="100000">
                    <a:srgbClr val="E2792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5C44-FD4A-A711-B39A45FB03BB}"/>
              </c:ext>
            </c:extLst>
          </c:dPt>
          <c:dPt>
            <c:idx val="6"/>
            <c:invertIfNegative val="0"/>
            <c:bubble3D val="0"/>
            <c:extLst>
              <c:ext xmlns:c16="http://schemas.microsoft.com/office/drawing/2014/chart" uri="{C3380CC4-5D6E-409C-BE32-E72D297353CC}">
                <c16:uniqueId val="{00000006-5C44-FD4A-A711-B39A45FB03BB}"/>
              </c:ext>
            </c:extLst>
          </c:dPt>
          <c:dPt>
            <c:idx val="7"/>
            <c:invertIfNegative val="0"/>
            <c:bubble3D val="0"/>
            <c:spPr>
              <a:gradFill rotWithShape="0">
                <a:gsLst>
                  <a:gs pos="0">
                    <a:srgbClr val="FF9A99"/>
                  </a:gs>
                  <a:gs pos="100000">
                    <a:srgbClr val="D140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5C44-FD4A-A711-B39A45FB03BB}"/>
              </c:ext>
            </c:extLst>
          </c:dPt>
          <c:dPt>
            <c:idx val="8"/>
            <c:invertIfNegative val="0"/>
            <c:bubble3D val="0"/>
            <c:spPr>
              <a:gradFill rotWithShape="0">
                <a:gsLst>
                  <a:gs pos="0">
                    <a:srgbClr val="DCFFA0"/>
                  </a:gs>
                  <a:gs pos="100000">
                    <a:srgbClr val="A0CA4A"/>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5C44-FD4A-A711-B39A45FB03BB}"/>
              </c:ext>
            </c:extLst>
          </c:dPt>
          <c:dPt>
            <c:idx val="9"/>
            <c:invertIfNegative val="0"/>
            <c:bubble3D val="0"/>
            <c:spPr>
              <a:gradFill rotWithShape="0">
                <a:gsLst>
                  <a:gs pos="0">
                    <a:srgbClr val="C8B0ED"/>
                  </a:gs>
                  <a:gs pos="100000">
                    <a:srgbClr val="7F5BA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5C44-FD4A-A711-B39A45FB03BB}"/>
              </c:ext>
            </c:extLst>
          </c:dPt>
          <c:dPt>
            <c:idx val="10"/>
            <c:invertIfNegative val="0"/>
            <c:bubble3D val="0"/>
            <c:spPr>
              <a:gradFill rotWithShape="0">
                <a:gsLst>
                  <a:gs pos="0">
                    <a:srgbClr val="95EEFF"/>
                  </a:gs>
                  <a:gs pos="100000">
                    <a:srgbClr val="39B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5C44-FD4A-A711-B39A45FB03BB}"/>
              </c:ext>
            </c:extLst>
          </c:dPt>
          <c:dPt>
            <c:idx val="11"/>
            <c:invertIfNegative val="0"/>
            <c:bubble3D val="0"/>
            <c:spPr>
              <a:gradFill rotWithShape="0">
                <a:gsLst>
                  <a:gs pos="0">
                    <a:srgbClr val="FFB977"/>
                  </a:gs>
                  <a:gs pos="100000">
                    <a:srgbClr val="FF932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B-5C44-FD4A-A711-B39A45FB03BB}"/>
              </c:ext>
            </c:extLst>
          </c:dPt>
          <c:cat>
            <c:strRef>
              <c:f>'Data Reduction Engine'!$B$838:$B$849</c:f>
              <c:strCache>
                <c:ptCount val="12"/>
                <c:pt idx="0">
                  <c:v>(206/205)m</c:v>
                </c:pt>
                <c:pt idx="1">
                  <c:v>(204/206)m</c:v>
                </c:pt>
                <c:pt idx="2">
                  <c:v>FPb</c:v>
                </c:pt>
                <c:pt idx="3">
                  <c:v>206Pb blank</c:v>
                </c:pt>
                <c:pt idx="4">
                  <c:v>(206/204)b</c:v>
                </c:pt>
                <c:pt idx="5">
                  <c:v>(206/204)c</c:v>
                </c:pt>
                <c:pt idx="6">
                  <c:v>(238/235)m</c:v>
                </c:pt>
                <c:pt idx="7">
                  <c:v>FU</c:v>
                </c:pt>
                <c:pt idx="8">
                  <c:v>238U blank</c:v>
                </c:pt>
                <c:pt idx="9">
                  <c:v>(Th/U)zircon</c:v>
                </c:pt>
                <c:pt idx="10">
                  <c:v>(Th/U)magma</c:v>
                </c:pt>
                <c:pt idx="11">
                  <c:v>(Th/U)initial</c:v>
                </c:pt>
              </c:strCache>
            </c:strRef>
          </c:cat>
          <c:val>
            <c:numRef>
              <c:f>'Data Reduction Engine'!$P$838:$P$849</c:f>
              <c:numCache>
                <c:formatCode>0.00%</c:formatCode>
                <c:ptCount val="12"/>
                <c:pt idx="0">
                  <c:v>6.3614402472699297E-2</c:v>
                </c:pt>
                <c:pt idx="1">
                  <c:v>7.9676197848688336E-3</c:v>
                </c:pt>
                <c:pt idx="2">
                  <c:v>0.52213647875595848</c:v>
                </c:pt>
                <c:pt idx="3">
                  <c:v>2.7861781207851516E-2</c:v>
                </c:pt>
                <c:pt idx="4">
                  <c:v>2.0325443288247702E-2</c:v>
                </c:pt>
                <c:pt idx="5">
                  <c:v>9.9999999999999995E-7</c:v>
                </c:pt>
                <c:pt idx="6">
                  <c:v>9.9809047524217126E-2</c:v>
                </c:pt>
                <c:pt idx="7">
                  <c:v>0.21676306232445705</c:v>
                </c:pt>
                <c:pt idx="8">
                  <c:v>1.0224902433682826E-3</c:v>
                </c:pt>
                <c:pt idx="9">
                  <c:v>5.5603329138785758E-6</c:v>
                </c:pt>
                <c:pt idx="10">
                  <c:v>3.7150563362768528E-2</c:v>
                </c:pt>
                <c:pt idx="11">
                  <c:v>3.3435507026491683E-3</c:v>
                </c:pt>
              </c:numCache>
            </c:numRef>
          </c:val>
          <c:extLst>
            <c:ext xmlns:c16="http://schemas.microsoft.com/office/drawing/2014/chart" uri="{C3380CC4-5D6E-409C-BE32-E72D297353CC}">
              <c16:uniqueId val="{0000000C-5C44-FD4A-A711-B39A45FB03BB}"/>
            </c:ext>
          </c:extLst>
        </c:ser>
        <c:dLbls>
          <c:showLegendKey val="0"/>
          <c:showVal val="0"/>
          <c:showCatName val="0"/>
          <c:showSerName val="0"/>
          <c:showPercent val="0"/>
          <c:showBubbleSize val="0"/>
        </c:dLbls>
        <c:gapWidth val="0"/>
        <c:axId val="1052113200"/>
        <c:axId val="1"/>
      </c:barChart>
      <c:catAx>
        <c:axId val="1052113200"/>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521132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5225657768388698"/>
          <c:y val="0.15833333333333305"/>
          <c:w val="0.68669982715575228"/>
          <c:h val="0.64123496281714798"/>
        </c:manualLayout>
      </c:layout>
      <c:barChart>
        <c:barDir val="col"/>
        <c:grouping val="clustered"/>
        <c:varyColors val="1"/>
        <c:ser>
          <c:idx val="0"/>
          <c:order val="0"/>
          <c:tx>
            <c:strRef>
              <c:f>'Data Reduction Engine'!$P$5</c:f>
              <c:strCache>
                <c:ptCount val="1"/>
                <c:pt idx="0">
                  <c:v>z5</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2BFF8"/>
                  </a:gs>
                  <a:gs pos="100000">
                    <a:srgbClr val="3670B6"/>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CD54-7B46-A0D4-AFAE7E5A65E5}"/>
              </c:ext>
            </c:extLst>
          </c:dPt>
          <c:dPt>
            <c:idx val="1"/>
            <c:invertIfNegative val="0"/>
            <c:bubble3D val="0"/>
            <c:spPr>
              <a:gradFill rotWithShape="0">
                <a:gsLst>
                  <a:gs pos="0">
                    <a:srgbClr val="FAA1A0"/>
                  </a:gs>
                  <a:gs pos="100000">
                    <a:srgbClr val="B93734"/>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CD54-7B46-A0D4-AFAE7E5A65E5}"/>
              </c:ext>
            </c:extLst>
          </c:dPt>
          <c:dPt>
            <c:idx val="2"/>
            <c:invertIfNegative val="0"/>
            <c:bubble3D val="0"/>
            <c:spPr>
              <a:gradFill rotWithShape="0">
                <a:gsLst>
                  <a:gs pos="0">
                    <a:srgbClr val="D4F4A6"/>
                  </a:gs>
                  <a:gs pos="100000">
                    <a:srgbClr val="8DB241"/>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CD54-7B46-A0D4-AFAE7E5A65E5}"/>
              </c:ext>
            </c:extLst>
          </c:dPt>
          <c:dPt>
            <c:idx val="3"/>
            <c:invertIfNegative val="0"/>
            <c:bubble3D val="0"/>
            <c:spPr>
              <a:gradFill rotWithShape="0">
                <a:gsLst>
                  <a:gs pos="0">
                    <a:srgbClr val="C5B3E2"/>
                  </a:gs>
                  <a:gs pos="100000">
                    <a:srgbClr val="704F97"/>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CD54-7B46-A0D4-AFAE7E5A65E5}"/>
              </c:ext>
            </c:extLst>
          </c:dPt>
          <c:dPt>
            <c:idx val="4"/>
            <c:invertIfNegative val="0"/>
            <c:bubble3D val="0"/>
            <c:spPr>
              <a:gradFill rotWithShape="0">
                <a:gsLst>
                  <a:gs pos="0">
                    <a:srgbClr val="9DE2FF"/>
                  </a:gs>
                  <a:gs pos="100000">
                    <a:srgbClr val="31A1C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CD54-7B46-A0D4-AFAE7E5A65E5}"/>
              </c:ext>
            </c:extLst>
          </c:dPt>
          <c:dPt>
            <c:idx val="5"/>
            <c:invertIfNegative val="0"/>
            <c:bubble3D val="0"/>
            <c:spPr>
              <a:gradFill rotWithShape="0">
                <a:gsLst>
                  <a:gs pos="0">
                    <a:srgbClr val="FFB885"/>
                  </a:gs>
                  <a:gs pos="100000">
                    <a:srgbClr val="F28225"/>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CD54-7B46-A0D4-AFAE7E5A65E5}"/>
              </c:ext>
            </c:extLst>
          </c:dPt>
          <c:dPt>
            <c:idx val="6"/>
            <c:invertIfNegative val="0"/>
            <c:bubble3D val="0"/>
            <c:spPr>
              <a:gradFill rotWithShape="0">
                <a:gsLst>
                  <a:gs pos="0">
                    <a:srgbClr val="B6D1FF"/>
                  </a:gs>
                  <a:gs pos="100000">
                    <a:srgbClr val="8AA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6-CD54-7B46-A0D4-AFAE7E5A65E5}"/>
              </c:ext>
            </c:extLst>
          </c:dPt>
          <c:dPt>
            <c:idx val="7"/>
            <c:invertIfNegative val="0"/>
            <c:bubble3D val="0"/>
            <c:spPr>
              <a:gradFill rotWithShape="0">
                <a:gsLst>
                  <a:gs pos="0">
                    <a:srgbClr val="FFB6B4"/>
                  </a:gs>
                  <a:gs pos="100000">
                    <a:srgbClr val="DA8A8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CD54-7B46-A0D4-AFAE7E5A65E5}"/>
              </c:ext>
            </c:extLst>
          </c:dPt>
          <c:dPt>
            <c:idx val="8"/>
            <c:invertIfNegative val="0"/>
            <c:bubble3D val="0"/>
            <c:spPr>
              <a:gradFill rotWithShape="0">
                <a:gsLst>
                  <a:gs pos="0">
                    <a:srgbClr val="E4FFBA"/>
                  </a:gs>
                  <a:gs pos="100000">
                    <a:srgbClr val="BBD68E"/>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CD54-7B46-A0D4-AFAE7E5A65E5}"/>
              </c:ext>
            </c:extLst>
          </c:dPt>
          <c:dPt>
            <c:idx val="9"/>
            <c:invertIfNegative val="0"/>
            <c:bubble3D val="0"/>
            <c:spPr>
              <a:gradFill rotWithShape="0">
                <a:gsLst>
                  <a:gs pos="0">
                    <a:srgbClr val="D6C5F1"/>
                  </a:gs>
                  <a:gs pos="100000">
                    <a:srgbClr val="A896C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CD54-7B46-A0D4-AFAE7E5A65E5}"/>
              </c:ext>
            </c:extLst>
          </c:dPt>
          <c:dPt>
            <c:idx val="10"/>
            <c:invertIfNegative val="0"/>
            <c:bubble3D val="0"/>
            <c:spPr>
              <a:gradFill rotWithShape="0">
                <a:gsLst>
                  <a:gs pos="0">
                    <a:srgbClr val="B2F1FF"/>
                  </a:gs>
                  <a:gs pos="100000">
                    <a:srgbClr val="87C8DF"/>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CD54-7B46-A0D4-AFAE7E5A65E5}"/>
              </c:ext>
            </c:extLst>
          </c:dPt>
          <c:cat>
            <c:strRef>
              <c:f>'Data Reduction Engine'!$B$864:$B$874</c:f>
              <c:strCache>
                <c:ptCount val="11"/>
                <c:pt idx="0">
                  <c:v>(206/205)m</c:v>
                </c:pt>
                <c:pt idx="1">
                  <c:v>(207/206)m</c:v>
                </c:pt>
                <c:pt idx="2">
                  <c:v>(204/206)m</c:v>
                </c:pt>
                <c:pt idx="3">
                  <c:v>FPb</c:v>
                </c:pt>
                <c:pt idx="4">
                  <c:v>206Pb blank</c:v>
                </c:pt>
                <c:pt idx="5">
                  <c:v>(206/204)b</c:v>
                </c:pt>
                <c:pt idx="6">
                  <c:v>(207/206)c</c:v>
                </c:pt>
                <c:pt idx="7">
                  <c:v>(206/204)c</c:v>
                </c:pt>
                <c:pt idx="8">
                  <c:v>(206/205)t</c:v>
                </c:pt>
                <c:pt idx="9">
                  <c:v>(207/206)t</c:v>
                </c:pt>
                <c:pt idx="10">
                  <c:v>(204/205)t</c:v>
                </c:pt>
              </c:strCache>
            </c:strRef>
          </c:cat>
          <c:val>
            <c:numRef>
              <c:f>'Data Reduction Engine'!$P$864:$P$874</c:f>
              <c:numCache>
                <c:formatCode>0.00%</c:formatCode>
                <c:ptCount val="11"/>
                <c:pt idx="0">
                  <c:v>1.2037502874833463E-5</c:v>
                </c:pt>
                <c:pt idx="1">
                  <c:v>8.8115222074941762E-4</c:v>
                </c:pt>
                <c:pt idx="2">
                  <c:v>0.23823482121889139</c:v>
                </c:pt>
                <c:pt idx="3">
                  <c:v>0.1320059912367991</c:v>
                </c:pt>
                <c:pt idx="4">
                  <c:v>1.7508405832483902E-2</c:v>
                </c:pt>
                <c:pt idx="5">
                  <c:v>0.60773838093607324</c:v>
                </c:pt>
                <c:pt idx="6">
                  <c:v>9.9999999999999995E-7</c:v>
                </c:pt>
                <c:pt idx="7">
                  <c:v>8.6128199496593844E-38</c:v>
                </c:pt>
                <c:pt idx="8">
                  <c:v>4.5373675709635422E-5</c:v>
                </c:pt>
                <c:pt idx="9">
                  <c:v>3.7548935263671712E-12</c:v>
                </c:pt>
                <c:pt idx="10">
                  <c:v>3.5738373726636511E-3</c:v>
                </c:pt>
              </c:numCache>
            </c:numRef>
          </c:val>
          <c:extLst>
            <c:ext xmlns:c16="http://schemas.microsoft.com/office/drawing/2014/chart" uri="{C3380CC4-5D6E-409C-BE32-E72D297353CC}">
              <c16:uniqueId val="{0000000B-CD54-7B46-A0D4-AFAE7E5A65E5}"/>
            </c:ext>
          </c:extLst>
        </c:ser>
        <c:dLbls>
          <c:showLegendKey val="0"/>
          <c:showVal val="0"/>
          <c:showCatName val="0"/>
          <c:showSerName val="0"/>
          <c:showPercent val="0"/>
          <c:showBubbleSize val="0"/>
        </c:dLbls>
        <c:gapWidth val="0"/>
        <c:axId val="1052130544"/>
        <c:axId val="1"/>
      </c:barChart>
      <c:catAx>
        <c:axId val="1052130544"/>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521305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8876896485500305"/>
          <c:y val="0.15778546712802805"/>
          <c:w val="0.76535740349529513"/>
          <c:h val="0.59972318339100306"/>
        </c:manualLayout>
      </c:layout>
      <c:barChart>
        <c:barDir val="col"/>
        <c:grouping val="clustered"/>
        <c:varyColors val="1"/>
        <c:ser>
          <c:idx val="0"/>
          <c:order val="0"/>
          <c:tx>
            <c:strRef>
              <c:f>'Data Reduction Engine'!$Q$5</c:f>
              <c:strCache>
                <c:ptCount val="1"/>
                <c:pt idx="0">
                  <c:v>z6</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5BFF0"/>
                  </a:gs>
                  <a:gs pos="100000">
                    <a:srgbClr val="3268A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1497-7243-B83A-59EA74E79EF3}"/>
              </c:ext>
            </c:extLst>
          </c:dPt>
          <c:dPt>
            <c:idx val="1"/>
            <c:invertIfNegative val="0"/>
            <c:bubble3D val="0"/>
            <c:spPr>
              <a:gradFill rotWithShape="0">
                <a:gsLst>
                  <a:gs pos="0">
                    <a:srgbClr val="F2A5A4"/>
                  </a:gs>
                  <a:gs pos="100000">
                    <a:srgbClr val="AD333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1497-7243-B83A-59EA74E79EF3}"/>
              </c:ext>
            </c:extLst>
          </c:dPt>
          <c:dPt>
            <c:idx val="2"/>
            <c:invertIfNegative val="0"/>
            <c:bubble3D val="0"/>
            <c:spPr>
              <a:gradFill rotWithShape="0">
                <a:gsLst>
                  <a:gs pos="0">
                    <a:srgbClr val="D1EDA8"/>
                  </a:gs>
                  <a:gs pos="100000">
                    <a:srgbClr val="83A6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1497-7243-B83A-59EA74E79EF3}"/>
              </c:ext>
            </c:extLst>
          </c:dPt>
          <c:dPt>
            <c:idx val="3"/>
            <c:invertIfNegative val="0"/>
            <c:bubble3D val="0"/>
            <c:spPr>
              <a:gradFill rotWithShape="0">
                <a:gsLst>
                  <a:gs pos="0">
                    <a:srgbClr val="C4B4DD"/>
                  </a:gs>
                  <a:gs pos="100000">
                    <a:srgbClr val="68498D"/>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1497-7243-B83A-59EA74E79EF3}"/>
              </c:ext>
            </c:extLst>
          </c:dPt>
          <c:dPt>
            <c:idx val="4"/>
            <c:invertIfNegative val="0"/>
            <c:bubble3D val="0"/>
            <c:spPr>
              <a:gradFill rotWithShape="0">
                <a:gsLst>
                  <a:gs pos="0">
                    <a:srgbClr val="A1DDF6"/>
                  </a:gs>
                  <a:gs pos="100000">
                    <a:srgbClr val="2D96B3"/>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1497-7243-B83A-59EA74E79EF3}"/>
              </c:ext>
            </c:extLst>
          </c:dPt>
          <c:dPt>
            <c:idx val="5"/>
            <c:invertIfNegative val="0"/>
            <c:bubble3D val="0"/>
            <c:spPr>
              <a:gradFill rotWithShape="0">
                <a:gsLst>
                  <a:gs pos="0">
                    <a:srgbClr val="FFB88C"/>
                  </a:gs>
                  <a:gs pos="100000">
                    <a:srgbClr val="E2792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1497-7243-B83A-59EA74E79EF3}"/>
              </c:ext>
            </c:extLst>
          </c:dPt>
          <c:dPt>
            <c:idx val="6"/>
            <c:invertIfNegative val="0"/>
            <c:bubble3D val="0"/>
            <c:extLst>
              <c:ext xmlns:c16="http://schemas.microsoft.com/office/drawing/2014/chart" uri="{C3380CC4-5D6E-409C-BE32-E72D297353CC}">
                <c16:uniqueId val="{00000006-1497-7243-B83A-59EA74E79EF3}"/>
              </c:ext>
            </c:extLst>
          </c:dPt>
          <c:dPt>
            <c:idx val="7"/>
            <c:invertIfNegative val="0"/>
            <c:bubble3D val="0"/>
            <c:spPr>
              <a:gradFill rotWithShape="0">
                <a:gsLst>
                  <a:gs pos="0">
                    <a:srgbClr val="FF9A99"/>
                  </a:gs>
                  <a:gs pos="100000">
                    <a:srgbClr val="D140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1497-7243-B83A-59EA74E79EF3}"/>
              </c:ext>
            </c:extLst>
          </c:dPt>
          <c:dPt>
            <c:idx val="8"/>
            <c:invertIfNegative val="0"/>
            <c:bubble3D val="0"/>
            <c:spPr>
              <a:gradFill rotWithShape="0">
                <a:gsLst>
                  <a:gs pos="0">
                    <a:srgbClr val="DCFFA0"/>
                  </a:gs>
                  <a:gs pos="100000">
                    <a:srgbClr val="A0CA4A"/>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1497-7243-B83A-59EA74E79EF3}"/>
              </c:ext>
            </c:extLst>
          </c:dPt>
          <c:dPt>
            <c:idx val="9"/>
            <c:invertIfNegative val="0"/>
            <c:bubble3D val="0"/>
            <c:spPr>
              <a:gradFill rotWithShape="0">
                <a:gsLst>
                  <a:gs pos="0">
                    <a:srgbClr val="C8B0ED"/>
                  </a:gs>
                  <a:gs pos="100000">
                    <a:srgbClr val="7F5BA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1497-7243-B83A-59EA74E79EF3}"/>
              </c:ext>
            </c:extLst>
          </c:dPt>
          <c:dPt>
            <c:idx val="10"/>
            <c:invertIfNegative val="0"/>
            <c:bubble3D val="0"/>
            <c:spPr>
              <a:gradFill rotWithShape="0">
                <a:gsLst>
                  <a:gs pos="0">
                    <a:srgbClr val="95EEFF"/>
                  </a:gs>
                  <a:gs pos="100000">
                    <a:srgbClr val="39B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1497-7243-B83A-59EA74E79EF3}"/>
              </c:ext>
            </c:extLst>
          </c:dPt>
          <c:dPt>
            <c:idx val="11"/>
            <c:invertIfNegative val="0"/>
            <c:bubble3D val="0"/>
            <c:spPr>
              <a:gradFill rotWithShape="0">
                <a:gsLst>
                  <a:gs pos="0">
                    <a:srgbClr val="FFB977"/>
                  </a:gs>
                  <a:gs pos="100000">
                    <a:srgbClr val="FF932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B-1497-7243-B83A-59EA74E79EF3}"/>
              </c:ext>
            </c:extLst>
          </c:dPt>
          <c:cat>
            <c:strRef>
              <c:f>'Data Reduction Engine'!$B$838:$B$849</c:f>
              <c:strCache>
                <c:ptCount val="12"/>
                <c:pt idx="0">
                  <c:v>(206/205)m</c:v>
                </c:pt>
                <c:pt idx="1">
                  <c:v>(204/206)m</c:v>
                </c:pt>
                <c:pt idx="2">
                  <c:v>FPb</c:v>
                </c:pt>
                <c:pt idx="3">
                  <c:v>206Pb blank</c:v>
                </c:pt>
                <c:pt idx="4">
                  <c:v>(206/204)b</c:v>
                </c:pt>
                <c:pt idx="5">
                  <c:v>(206/204)c</c:v>
                </c:pt>
                <c:pt idx="6">
                  <c:v>(238/235)m</c:v>
                </c:pt>
                <c:pt idx="7">
                  <c:v>FU</c:v>
                </c:pt>
                <c:pt idx="8">
                  <c:v>238U blank</c:v>
                </c:pt>
                <c:pt idx="9">
                  <c:v>(Th/U)zircon</c:v>
                </c:pt>
                <c:pt idx="10">
                  <c:v>(Th/U)magma</c:v>
                </c:pt>
                <c:pt idx="11">
                  <c:v>(Th/U)initial</c:v>
                </c:pt>
              </c:strCache>
            </c:strRef>
          </c:cat>
          <c:val>
            <c:numRef>
              <c:f>'Data Reduction Engine'!$Q$838:$Q$849</c:f>
              <c:numCache>
                <c:formatCode>0.00%</c:formatCode>
                <c:ptCount val="12"/>
                <c:pt idx="0">
                  <c:v>0.29150369703880186</c:v>
                </c:pt>
                <c:pt idx="1">
                  <c:v>9.8440023565130791E-2</c:v>
                </c:pt>
                <c:pt idx="2">
                  <c:v>0.24535274073473923</c:v>
                </c:pt>
                <c:pt idx="3">
                  <c:v>0.18048905547741795</c:v>
                </c:pt>
                <c:pt idx="4">
                  <c:v>0.13166854028061392</c:v>
                </c:pt>
                <c:pt idx="5">
                  <c:v>9.9999999999999995E-7</c:v>
                </c:pt>
                <c:pt idx="6">
                  <c:v>1.2424841583733928E-2</c:v>
                </c:pt>
                <c:pt idx="7">
                  <c:v>1.7084588829676114E-2</c:v>
                </c:pt>
                <c:pt idx="8">
                  <c:v>1.0885408292232085E-2</c:v>
                </c:pt>
                <c:pt idx="9">
                  <c:v>2.3066108446781498E-5</c:v>
                </c:pt>
                <c:pt idx="10">
                  <c:v>1.1126640448814127E-2</c:v>
                </c:pt>
                <c:pt idx="11">
                  <c:v>1.0013976403932716E-3</c:v>
                </c:pt>
              </c:numCache>
            </c:numRef>
          </c:val>
          <c:extLst>
            <c:ext xmlns:c16="http://schemas.microsoft.com/office/drawing/2014/chart" uri="{C3380CC4-5D6E-409C-BE32-E72D297353CC}">
              <c16:uniqueId val="{0000000C-1497-7243-B83A-59EA74E79EF3}"/>
            </c:ext>
          </c:extLst>
        </c:ser>
        <c:dLbls>
          <c:showLegendKey val="0"/>
          <c:showVal val="0"/>
          <c:showCatName val="0"/>
          <c:showSerName val="0"/>
          <c:showPercent val="0"/>
          <c:showBubbleSize val="0"/>
        </c:dLbls>
        <c:gapWidth val="0"/>
        <c:axId val="1052742016"/>
        <c:axId val="1"/>
      </c:barChart>
      <c:catAx>
        <c:axId val="1052742016"/>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5274201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8876896485500305"/>
          <c:y val="0.15778546712802805"/>
          <c:w val="0.76535740349529513"/>
          <c:h val="0.59972318339100306"/>
        </c:manualLayout>
      </c:layout>
      <c:barChart>
        <c:barDir val="col"/>
        <c:grouping val="clustered"/>
        <c:varyColors val="1"/>
        <c:ser>
          <c:idx val="0"/>
          <c:order val="0"/>
          <c:tx>
            <c:strRef>
              <c:f>'Data Reduction Engine'!$D$5</c:f>
              <c:strCache>
                <c:ptCount val="1"/>
                <c:pt idx="0">
                  <c:v>15WZ1-2 t2</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5BFF0"/>
                  </a:gs>
                  <a:gs pos="100000">
                    <a:srgbClr val="3268A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CCA8-3F46-9C59-71B81F0DE476}"/>
              </c:ext>
            </c:extLst>
          </c:dPt>
          <c:dPt>
            <c:idx val="1"/>
            <c:invertIfNegative val="0"/>
            <c:bubble3D val="0"/>
            <c:spPr>
              <a:gradFill rotWithShape="0">
                <a:gsLst>
                  <a:gs pos="0">
                    <a:srgbClr val="F2A5A4"/>
                  </a:gs>
                  <a:gs pos="100000">
                    <a:srgbClr val="AD333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CCA8-3F46-9C59-71B81F0DE476}"/>
              </c:ext>
            </c:extLst>
          </c:dPt>
          <c:dPt>
            <c:idx val="2"/>
            <c:invertIfNegative val="0"/>
            <c:bubble3D val="0"/>
            <c:spPr>
              <a:gradFill rotWithShape="0">
                <a:gsLst>
                  <a:gs pos="0">
                    <a:srgbClr val="D1EDA8"/>
                  </a:gs>
                  <a:gs pos="100000">
                    <a:srgbClr val="83A6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CCA8-3F46-9C59-71B81F0DE476}"/>
              </c:ext>
            </c:extLst>
          </c:dPt>
          <c:dPt>
            <c:idx val="3"/>
            <c:invertIfNegative val="0"/>
            <c:bubble3D val="0"/>
            <c:spPr>
              <a:gradFill rotWithShape="0">
                <a:gsLst>
                  <a:gs pos="0">
                    <a:srgbClr val="C4B4DD"/>
                  </a:gs>
                  <a:gs pos="100000">
                    <a:srgbClr val="68498D"/>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CCA8-3F46-9C59-71B81F0DE476}"/>
              </c:ext>
            </c:extLst>
          </c:dPt>
          <c:dPt>
            <c:idx val="4"/>
            <c:invertIfNegative val="0"/>
            <c:bubble3D val="0"/>
            <c:spPr>
              <a:gradFill rotWithShape="0">
                <a:gsLst>
                  <a:gs pos="0">
                    <a:srgbClr val="A1DDF6"/>
                  </a:gs>
                  <a:gs pos="100000">
                    <a:srgbClr val="2D96B3"/>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CCA8-3F46-9C59-71B81F0DE476}"/>
              </c:ext>
            </c:extLst>
          </c:dPt>
          <c:dPt>
            <c:idx val="5"/>
            <c:invertIfNegative val="0"/>
            <c:bubble3D val="0"/>
            <c:spPr>
              <a:gradFill rotWithShape="0">
                <a:gsLst>
                  <a:gs pos="0">
                    <a:srgbClr val="FFB88C"/>
                  </a:gs>
                  <a:gs pos="100000">
                    <a:srgbClr val="E2792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CCA8-3F46-9C59-71B81F0DE476}"/>
              </c:ext>
            </c:extLst>
          </c:dPt>
          <c:dPt>
            <c:idx val="6"/>
            <c:invertIfNegative val="0"/>
            <c:bubble3D val="0"/>
            <c:extLst>
              <c:ext xmlns:c16="http://schemas.microsoft.com/office/drawing/2014/chart" uri="{C3380CC4-5D6E-409C-BE32-E72D297353CC}">
                <c16:uniqueId val="{00000006-CCA8-3F46-9C59-71B81F0DE476}"/>
              </c:ext>
            </c:extLst>
          </c:dPt>
          <c:dPt>
            <c:idx val="7"/>
            <c:invertIfNegative val="0"/>
            <c:bubble3D val="0"/>
            <c:spPr>
              <a:gradFill rotWithShape="0">
                <a:gsLst>
                  <a:gs pos="0">
                    <a:srgbClr val="FF9A99"/>
                  </a:gs>
                  <a:gs pos="100000">
                    <a:srgbClr val="D140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CCA8-3F46-9C59-71B81F0DE476}"/>
              </c:ext>
            </c:extLst>
          </c:dPt>
          <c:dPt>
            <c:idx val="8"/>
            <c:invertIfNegative val="0"/>
            <c:bubble3D val="0"/>
            <c:spPr>
              <a:gradFill rotWithShape="0">
                <a:gsLst>
                  <a:gs pos="0">
                    <a:srgbClr val="DCFFA0"/>
                  </a:gs>
                  <a:gs pos="100000">
                    <a:srgbClr val="A0CA4A"/>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CCA8-3F46-9C59-71B81F0DE476}"/>
              </c:ext>
            </c:extLst>
          </c:dPt>
          <c:dPt>
            <c:idx val="9"/>
            <c:invertIfNegative val="0"/>
            <c:bubble3D val="0"/>
            <c:spPr>
              <a:gradFill rotWithShape="0">
                <a:gsLst>
                  <a:gs pos="0">
                    <a:srgbClr val="C8B0ED"/>
                  </a:gs>
                  <a:gs pos="100000">
                    <a:srgbClr val="7F5BA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CCA8-3F46-9C59-71B81F0DE476}"/>
              </c:ext>
            </c:extLst>
          </c:dPt>
          <c:dPt>
            <c:idx val="10"/>
            <c:invertIfNegative val="0"/>
            <c:bubble3D val="0"/>
            <c:spPr>
              <a:gradFill rotWithShape="0">
                <a:gsLst>
                  <a:gs pos="0">
                    <a:srgbClr val="95EEFF"/>
                  </a:gs>
                  <a:gs pos="100000">
                    <a:srgbClr val="39B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CCA8-3F46-9C59-71B81F0DE476}"/>
              </c:ext>
            </c:extLst>
          </c:dPt>
          <c:dPt>
            <c:idx val="11"/>
            <c:invertIfNegative val="0"/>
            <c:bubble3D val="0"/>
            <c:spPr>
              <a:gradFill rotWithShape="0">
                <a:gsLst>
                  <a:gs pos="0">
                    <a:srgbClr val="FFB977"/>
                  </a:gs>
                  <a:gs pos="100000">
                    <a:srgbClr val="FF932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B-CCA8-3F46-9C59-71B81F0DE476}"/>
              </c:ext>
            </c:extLst>
          </c:dPt>
          <c:cat>
            <c:strRef>
              <c:f>'Data Reduction Engine'!$B$838:$B$849</c:f>
              <c:strCache>
                <c:ptCount val="12"/>
                <c:pt idx="0">
                  <c:v>(206/205)m</c:v>
                </c:pt>
                <c:pt idx="1">
                  <c:v>(204/206)m</c:v>
                </c:pt>
                <c:pt idx="2">
                  <c:v>FPb</c:v>
                </c:pt>
                <c:pt idx="3">
                  <c:v>206Pb blank</c:v>
                </c:pt>
                <c:pt idx="4">
                  <c:v>(206/204)b</c:v>
                </c:pt>
                <c:pt idx="5">
                  <c:v>(206/204)c</c:v>
                </c:pt>
                <c:pt idx="6">
                  <c:v>(238/235)m</c:v>
                </c:pt>
                <c:pt idx="7">
                  <c:v>FU</c:v>
                </c:pt>
                <c:pt idx="8">
                  <c:v>238U blank</c:v>
                </c:pt>
                <c:pt idx="9">
                  <c:v>(Th/U)zircon</c:v>
                </c:pt>
                <c:pt idx="10">
                  <c:v>(Th/U)magma</c:v>
                </c:pt>
                <c:pt idx="11">
                  <c:v>(Th/U)initial</c:v>
                </c:pt>
              </c:strCache>
            </c:strRef>
          </c:cat>
          <c:val>
            <c:numRef>
              <c:f>'Data Reduction Engine'!$D$838:$D$849</c:f>
              <c:numCache>
                <c:formatCode>0.00%</c:formatCode>
                <c:ptCount val="12"/>
                <c:pt idx="0">
                  <c:v>3.3674395241762244E-4</c:v>
                </c:pt>
                <c:pt idx="1">
                  <c:v>0.15933106104768888</c:v>
                </c:pt>
                <c:pt idx="2">
                  <c:v>1.3975762233566814E-2</c:v>
                </c:pt>
                <c:pt idx="3">
                  <c:v>2.0549579166863539E-2</c:v>
                </c:pt>
                <c:pt idx="4">
                  <c:v>1.4991120016251441E-2</c:v>
                </c:pt>
                <c:pt idx="5">
                  <c:v>0.78836001406268263</c:v>
                </c:pt>
                <c:pt idx="6">
                  <c:v>1.1490905476237408E-3</c:v>
                </c:pt>
                <c:pt idx="7">
                  <c:v>4.2878475135467502E-5</c:v>
                </c:pt>
                <c:pt idx="8">
                  <c:v>1.2548678777692798E-3</c:v>
                </c:pt>
                <c:pt idx="9">
                  <c:v>8.6722606988566158E-6</c:v>
                </c:pt>
                <c:pt idx="10">
                  <c:v>1.9299018499643978E-7</c:v>
                </c:pt>
                <c:pt idx="11">
                  <c:v>1.7369116649679586E-8</c:v>
                </c:pt>
              </c:numCache>
            </c:numRef>
          </c:val>
          <c:extLst>
            <c:ext xmlns:c16="http://schemas.microsoft.com/office/drawing/2014/chart" uri="{C3380CC4-5D6E-409C-BE32-E72D297353CC}">
              <c16:uniqueId val="{0000000C-CCA8-3F46-9C59-71B81F0DE476}"/>
            </c:ext>
          </c:extLst>
        </c:ser>
        <c:dLbls>
          <c:showLegendKey val="0"/>
          <c:showVal val="0"/>
          <c:showCatName val="0"/>
          <c:showSerName val="0"/>
          <c:showPercent val="0"/>
          <c:showBubbleSize val="0"/>
        </c:dLbls>
        <c:gapWidth val="0"/>
        <c:axId val="1013970320"/>
        <c:axId val="1"/>
      </c:barChart>
      <c:catAx>
        <c:axId val="1013970320"/>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139703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5225657768388698"/>
          <c:y val="0.15833333333333305"/>
          <c:w val="0.68669982715575228"/>
          <c:h val="0.64123496281714798"/>
        </c:manualLayout>
      </c:layout>
      <c:barChart>
        <c:barDir val="col"/>
        <c:grouping val="clustered"/>
        <c:varyColors val="1"/>
        <c:ser>
          <c:idx val="0"/>
          <c:order val="0"/>
          <c:tx>
            <c:strRef>
              <c:f>'Data Reduction Engine'!$Q$5</c:f>
              <c:strCache>
                <c:ptCount val="1"/>
                <c:pt idx="0">
                  <c:v>z6</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2BFF8"/>
                  </a:gs>
                  <a:gs pos="100000">
                    <a:srgbClr val="3670B6"/>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50C9-BC4D-8DA3-D7AD3B76E063}"/>
              </c:ext>
            </c:extLst>
          </c:dPt>
          <c:dPt>
            <c:idx val="1"/>
            <c:invertIfNegative val="0"/>
            <c:bubble3D val="0"/>
            <c:spPr>
              <a:gradFill rotWithShape="0">
                <a:gsLst>
                  <a:gs pos="0">
                    <a:srgbClr val="FAA1A0"/>
                  </a:gs>
                  <a:gs pos="100000">
                    <a:srgbClr val="B93734"/>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50C9-BC4D-8DA3-D7AD3B76E063}"/>
              </c:ext>
            </c:extLst>
          </c:dPt>
          <c:dPt>
            <c:idx val="2"/>
            <c:invertIfNegative val="0"/>
            <c:bubble3D val="0"/>
            <c:spPr>
              <a:gradFill rotWithShape="0">
                <a:gsLst>
                  <a:gs pos="0">
                    <a:srgbClr val="D4F4A6"/>
                  </a:gs>
                  <a:gs pos="100000">
                    <a:srgbClr val="8DB241"/>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50C9-BC4D-8DA3-D7AD3B76E063}"/>
              </c:ext>
            </c:extLst>
          </c:dPt>
          <c:dPt>
            <c:idx val="3"/>
            <c:invertIfNegative val="0"/>
            <c:bubble3D val="0"/>
            <c:spPr>
              <a:gradFill rotWithShape="0">
                <a:gsLst>
                  <a:gs pos="0">
                    <a:srgbClr val="C5B3E2"/>
                  </a:gs>
                  <a:gs pos="100000">
                    <a:srgbClr val="704F97"/>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50C9-BC4D-8DA3-D7AD3B76E063}"/>
              </c:ext>
            </c:extLst>
          </c:dPt>
          <c:dPt>
            <c:idx val="4"/>
            <c:invertIfNegative val="0"/>
            <c:bubble3D val="0"/>
            <c:spPr>
              <a:gradFill rotWithShape="0">
                <a:gsLst>
                  <a:gs pos="0">
                    <a:srgbClr val="9DE2FF"/>
                  </a:gs>
                  <a:gs pos="100000">
                    <a:srgbClr val="31A1C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50C9-BC4D-8DA3-D7AD3B76E063}"/>
              </c:ext>
            </c:extLst>
          </c:dPt>
          <c:dPt>
            <c:idx val="5"/>
            <c:invertIfNegative val="0"/>
            <c:bubble3D val="0"/>
            <c:spPr>
              <a:gradFill rotWithShape="0">
                <a:gsLst>
                  <a:gs pos="0">
                    <a:srgbClr val="FFB885"/>
                  </a:gs>
                  <a:gs pos="100000">
                    <a:srgbClr val="F28225"/>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50C9-BC4D-8DA3-D7AD3B76E063}"/>
              </c:ext>
            </c:extLst>
          </c:dPt>
          <c:dPt>
            <c:idx val="6"/>
            <c:invertIfNegative val="0"/>
            <c:bubble3D val="0"/>
            <c:spPr>
              <a:gradFill rotWithShape="0">
                <a:gsLst>
                  <a:gs pos="0">
                    <a:srgbClr val="B6D1FF"/>
                  </a:gs>
                  <a:gs pos="100000">
                    <a:srgbClr val="8AA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6-50C9-BC4D-8DA3-D7AD3B76E063}"/>
              </c:ext>
            </c:extLst>
          </c:dPt>
          <c:dPt>
            <c:idx val="7"/>
            <c:invertIfNegative val="0"/>
            <c:bubble3D val="0"/>
            <c:spPr>
              <a:gradFill rotWithShape="0">
                <a:gsLst>
                  <a:gs pos="0">
                    <a:srgbClr val="FFB6B4"/>
                  </a:gs>
                  <a:gs pos="100000">
                    <a:srgbClr val="DA8A8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50C9-BC4D-8DA3-D7AD3B76E063}"/>
              </c:ext>
            </c:extLst>
          </c:dPt>
          <c:dPt>
            <c:idx val="8"/>
            <c:invertIfNegative val="0"/>
            <c:bubble3D val="0"/>
            <c:spPr>
              <a:gradFill rotWithShape="0">
                <a:gsLst>
                  <a:gs pos="0">
                    <a:srgbClr val="E4FFBA"/>
                  </a:gs>
                  <a:gs pos="100000">
                    <a:srgbClr val="BBD68E"/>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50C9-BC4D-8DA3-D7AD3B76E063}"/>
              </c:ext>
            </c:extLst>
          </c:dPt>
          <c:dPt>
            <c:idx val="9"/>
            <c:invertIfNegative val="0"/>
            <c:bubble3D val="0"/>
            <c:spPr>
              <a:gradFill rotWithShape="0">
                <a:gsLst>
                  <a:gs pos="0">
                    <a:srgbClr val="D6C5F1"/>
                  </a:gs>
                  <a:gs pos="100000">
                    <a:srgbClr val="A896C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50C9-BC4D-8DA3-D7AD3B76E063}"/>
              </c:ext>
            </c:extLst>
          </c:dPt>
          <c:dPt>
            <c:idx val="10"/>
            <c:invertIfNegative val="0"/>
            <c:bubble3D val="0"/>
            <c:spPr>
              <a:gradFill rotWithShape="0">
                <a:gsLst>
                  <a:gs pos="0">
                    <a:srgbClr val="B2F1FF"/>
                  </a:gs>
                  <a:gs pos="100000">
                    <a:srgbClr val="87C8DF"/>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50C9-BC4D-8DA3-D7AD3B76E063}"/>
              </c:ext>
            </c:extLst>
          </c:dPt>
          <c:cat>
            <c:strRef>
              <c:f>'Data Reduction Engine'!$B$864:$B$874</c:f>
              <c:strCache>
                <c:ptCount val="11"/>
                <c:pt idx="0">
                  <c:v>(206/205)m</c:v>
                </c:pt>
                <c:pt idx="1">
                  <c:v>(207/206)m</c:v>
                </c:pt>
                <c:pt idx="2">
                  <c:v>(204/206)m</c:v>
                </c:pt>
                <c:pt idx="3">
                  <c:v>FPb</c:v>
                </c:pt>
                <c:pt idx="4">
                  <c:v>206Pb blank</c:v>
                </c:pt>
                <c:pt idx="5">
                  <c:v>(206/204)b</c:v>
                </c:pt>
                <c:pt idx="6">
                  <c:v>(207/206)c</c:v>
                </c:pt>
                <c:pt idx="7">
                  <c:v>(206/204)c</c:v>
                </c:pt>
                <c:pt idx="8">
                  <c:v>(206/205)t</c:v>
                </c:pt>
                <c:pt idx="9">
                  <c:v>(207/206)t</c:v>
                </c:pt>
                <c:pt idx="10">
                  <c:v>(204/205)t</c:v>
                </c:pt>
              </c:strCache>
            </c:strRef>
          </c:cat>
          <c:val>
            <c:numRef>
              <c:f>'Data Reduction Engine'!$Q$864:$Q$874</c:f>
              <c:numCache>
                <c:formatCode>0.00%</c:formatCode>
                <c:ptCount val="11"/>
                <c:pt idx="0">
                  <c:v>2.811134231957999E-4</c:v>
                </c:pt>
                <c:pt idx="1">
                  <c:v>4.7737908476226991E-2</c:v>
                </c:pt>
                <c:pt idx="2">
                  <c:v>0.38295599034134992</c:v>
                </c:pt>
                <c:pt idx="3">
                  <c:v>3.4599648711624839E-2</c:v>
                </c:pt>
                <c:pt idx="4">
                  <c:v>1.4867794587611479E-2</c:v>
                </c:pt>
                <c:pt idx="5">
                  <c:v>0.51222312240306378</c:v>
                </c:pt>
                <c:pt idx="6">
                  <c:v>9.9999999999999995E-7</c:v>
                </c:pt>
                <c:pt idx="7">
                  <c:v>1.0935852247838434E-37</c:v>
                </c:pt>
                <c:pt idx="8">
                  <c:v>9.1972635940282239E-5</c:v>
                </c:pt>
                <c:pt idx="9">
                  <c:v>7.5996711095955979E-12</c:v>
                </c:pt>
                <c:pt idx="10">
                  <c:v>7.2424494133872521E-3</c:v>
                </c:pt>
              </c:numCache>
            </c:numRef>
          </c:val>
          <c:extLst>
            <c:ext xmlns:c16="http://schemas.microsoft.com/office/drawing/2014/chart" uri="{C3380CC4-5D6E-409C-BE32-E72D297353CC}">
              <c16:uniqueId val="{0000000B-50C9-BC4D-8DA3-D7AD3B76E063}"/>
            </c:ext>
          </c:extLst>
        </c:ser>
        <c:dLbls>
          <c:showLegendKey val="0"/>
          <c:showVal val="0"/>
          <c:showCatName val="0"/>
          <c:showSerName val="0"/>
          <c:showPercent val="0"/>
          <c:showBubbleSize val="0"/>
        </c:dLbls>
        <c:gapWidth val="0"/>
        <c:axId val="1052003328"/>
        <c:axId val="1"/>
      </c:barChart>
      <c:catAx>
        <c:axId val="1052003328"/>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520033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8876896485500305"/>
          <c:y val="0.15778546712802805"/>
          <c:w val="0.76535740349529513"/>
          <c:h val="0.59972318339100306"/>
        </c:manualLayout>
      </c:layout>
      <c:barChart>
        <c:barDir val="col"/>
        <c:grouping val="clustered"/>
        <c:varyColors val="1"/>
        <c:ser>
          <c:idx val="0"/>
          <c:order val="0"/>
          <c:tx>
            <c:strRef>
              <c:f>'Data Reduction Engine'!$R$5</c:f>
              <c:strCache>
                <c:ptCount val="1"/>
                <c:pt idx="0">
                  <c:v>z9a</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5BFF0"/>
                  </a:gs>
                  <a:gs pos="100000">
                    <a:srgbClr val="3268A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980A-4F4B-94E2-552846D0F1EB}"/>
              </c:ext>
            </c:extLst>
          </c:dPt>
          <c:dPt>
            <c:idx val="1"/>
            <c:invertIfNegative val="0"/>
            <c:bubble3D val="0"/>
            <c:spPr>
              <a:gradFill rotWithShape="0">
                <a:gsLst>
                  <a:gs pos="0">
                    <a:srgbClr val="F2A5A4"/>
                  </a:gs>
                  <a:gs pos="100000">
                    <a:srgbClr val="AD333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980A-4F4B-94E2-552846D0F1EB}"/>
              </c:ext>
            </c:extLst>
          </c:dPt>
          <c:dPt>
            <c:idx val="2"/>
            <c:invertIfNegative val="0"/>
            <c:bubble3D val="0"/>
            <c:spPr>
              <a:gradFill rotWithShape="0">
                <a:gsLst>
                  <a:gs pos="0">
                    <a:srgbClr val="D1EDA8"/>
                  </a:gs>
                  <a:gs pos="100000">
                    <a:srgbClr val="83A6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980A-4F4B-94E2-552846D0F1EB}"/>
              </c:ext>
            </c:extLst>
          </c:dPt>
          <c:dPt>
            <c:idx val="3"/>
            <c:invertIfNegative val="0"/>
            <c:bubble3D val="0"/>
            <c:spPr>
              <a:gradFill rotWithShape="0">
                <a:gsLst>
                  <a:gs pos="0">
                    <a:srgbClr val="C4B4DD"/>
                  </a:gs>
                  <a:gs pos="100000">
                    <a:srgbClr val="68498D"/>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980A-4F4B-94E2-552846D0F1EB}"/>
              </c:ext>
            </c:extLst>
          </c:dPt>
          <c:dPt>
            <c:idx val="4"/>
            <c:invertIfNegative val="0"/>
            <c:bubble3D val="0"/>
            <c:spPr>
              <a:gradFill rotWithShape="0">
                <a:gsLst>
                  <a:gs pos="0">
                    <a:srgbClr val="A1DDF6"/>
                  </a:gs>
                  <a:gs pos="100000">
                    <a:srgbClr val="2D96B3"/>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980A-4F4B-94E2-552846D0F1EB}"/>
              </c:ext>
            </c:extLst>
          </c:dPt>
          <c:dPt>
            <c:idx val="5"/>
            <c:invertIfNegative val="0"/>
            <c:bubble3D val="0"/>
            <c:spPr>
              <a:gradFill rotWithShape="0">
                <a:gsLst>
                  <a:gs pos="0">
                    <a:srgbClr val="FFB88C"/>
                  </a:gs>
                  <a:gs pos="100000">
                    <a:srgbClr val="E2792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980A-4F4B-94E2-552846D0F1EB}"/>
              </c:ext>
            </c:extLst>
          </c:dPt>
          <c:dPt>
            <c:idx val="6"/>
            <c:invertIfNegative val="0"/>
            <c:bubble3D val="0"/>
            <c:extLst>
              <c:ext xmlns:c16="http://schemas.microsoft.com/office/drawing/2014/chart" uri="{C3380CC4-5D6E-409C-BE32-E72D297353CC}">
                <c16:uniqueId val="{00000006-980A-4F4B-94E2-552846D0F1EB}"/>
              </c:ext>
            </c:extLst>
          </c:dPt>
          <c:dPt>
            <c:idx val="7"/>
            <c:invertIfNegative val="0"/>
            <c:bubble3D val="0"/>
            <c:spPr>
              <a:gradFill rotWithShape="0">
                <a:gsLst>
                  <a:gs pos="0">
                    <a:srgbClr val="FF9A99"/>
                  </a:gs>
                  <a:gs pos="100000">
                    <a:srgbClr val="D140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980A-4F4B-94E2-552846D0F1EB}"/>
              </c:ext>
            </c:extLst>
          </c:dPt>
          <c:dPt>
            <c:idx val="8"/>
            <c:invertIfNegative val="0"/>
            <c:bubble3D val="0"/>
            <c:spPr>
              <a:gradFill rotWithShape="0">
                <a:gsLst>
                  <a:gs pos="0">
                    <a:srgbClr val="DCFFA0"/>
                  </a:gs>
                  <a:gs pos="100000">
                    <a:srgbClr val="A0CA4A"/>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980A-4F4B-94E2-552846D0F1EB}"/>
              </c:ext>
            </c:extLst>
          </c:dPt>
          <c:dPt>
            <c:idx val="9"/>
            <c:invertIfNegative val="0"/>
            <c:bubble3D val="0"/>
            <c:spPr>
              <a:gradFill rotWithShape="0">
                <a:gsLst>
                  <a:gs pos="0">
                    <a:srgbClr val="C8B0ED"/>
                  </a:gs>
                  <a:gs pos="100000">
                    <a:srgbClr val="7F5BA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980A-4F4B-94E2-552846D0F1EB}"/>
              </c:ext>
            </c:extLst>
          </c:dPt>
          <c:dPt>
            <c:idx val="10"/>
            <c:invertIfNegative val="0"/>
            <c:bubble3D val="0"/>
            <c:spPr>
              <a:gradFill rotWithShape="0">
                <a:gsLst>
                  <a:gs pos="0">
                    <a:srgbClr val="95EEFF"/>
                  </a:gs>
                  <a:gs pos="100000">
                    <a:srgbClr val="39B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980A-4F4B-94E2-552846D0F1EB}"/>
              </c:ext>
            </c:extLst>
          </c:dPt>
          <c:dPt>
            <c:idx val="11"/>
            <c:invertIfNegative val="0"/>
            <c:bubble3D val="0"/>
            <c:spPr>
              <a:gradFill rotWithShape="0">
                <a:gsLst>
                  <a:gs pos="0">
                    <a:srgbClr val="FFB977"/>
                  </a:gs>
                  <a:gs pos="100000">
                    <a:srgbClr val="FF932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B-980A-4F4B-94E2-552846D0F1EB}"/>
              </c:ext>
            </c:extLst>
          </c:dPt>
          <c:cat>
            <c:strRef>
              <c:f>'Data Reduction Engine'!$B$838:$B$849</c:f>
              <c:strCache>
                <c:ptCount val="12"/>
                <c:pt idx="0">
                  <c:v>(206/205)m</c:v>
                </c:pt>
                <c:pt idx="1">
                  <c:v>(204/206)m</c:v>
                </c:pt>
                <c:pt idx="2">
                  <c:v>FPb</c:v>
                </c:pt>
                <c:pt idx="3">
                  <c:v>206Pb blank</c:v>
                </c:pt>
                <c:pt idx="4">
                  <c:v>(206/204)b</c:v>
                </c:pt>
                <c:pt idx="5">
                  <c:v>(206/204)c</c:v>
                </c:pt>
                <c:pt idx="6">
                  <c:v>(238/235)m</c:v>
                </c:pt>
                <c:pt idx="7">
                  <c:v>FU</c:v>
                </c:pt>
                <c:pt idx="8">
                  <c:v>238U blank</c:v>
                </c:pt>
                <c:pt idx="9">
                  <c:v>(Th/U)zircon</c:v>
                </c:pt>
                <c:pt idx="10">
                  <c:v>(Th/U)magma</c:v>
                </c:pt>
                <c:pt idx="11">
                  <c:v>(Th/U)initial</c:v>
                </c:pt>
              </c:strCache>
            </c:strRef>
          </c:cat>
          <c:val>
            <c:numRef>
              <c:f>'Data Reduction Engine'!$R$838:$R$849</c:f>
              <c:numCache>
                <c:formatCode>0.00%</c:formatCode>
                <c:ptCount val="12"/>
                <c:pt idx="0">
                  <c:v>5.299481528799857E-2</c:v>
                </c:pt>
                <c:pt idx="1">
                  <c:v>0.15256561652300077</c:v>
                </c:pt>
                <c:pt idx="2">
                  <c:v>1.9670863325346948E-2</c:v>
                </c:pt>
                <c:pt idx="3">
                  <c:v>0.41416369277236242</c:v>
                </c:pt>
                <c:pt idx="4">
                  <c:v>0.3021364853415639</c:v>
                </c:pt>
                <c:pt idx="5">
                  <c:v>9.9999999999999995E-7</c:v>
                </c:pt>
                <c:pt idx="6">
                  <c:v>4.2655349174489958E-3</c:v>
                </c:pt>
                <c:pt idx="7">
                  <c:v>1.2219273812561694E-2</c:v>
                </c:pt>
                <c:pt idx="8">
                  <c:v>2.7445363417892515E-3</c:v>
                </c:pt>
                <c:pt idx="9">
                  <c:v>1.0910805502930095E-4</c:v>
                </c:pt>
                <c:pt idx="10">
                  <c:v>3.5899150112750695E-2</c:v>
                </c:pt>
                <c:pt idx="11">
                  <c:v>3.2309235101475632E-3</c:v>
                </c:pt>
              </c:numCache>
            </c:numRef>
          </c:val>
          <c:extLst>
            <c:ext xmlns:c16="http://schemas.microsoft.com/office/drawing/2014/chart" uri="{C3380CC4-5D6E-409C-BE32-E72D297353CC}">
              <c16:uniqueId val="{0000000C-980A-4F4B-94E2-552846D0F1EB}"/>
            </c:ext>
          </c:extLst>
        </c:ser>
        <c:dLbls>
          <c:showLegendKey val="0"/>
          <c:showVal val="0"/>
          <c:showCatName val="0"/>
          <c:showSerName val="0"/>
          <c:showPercent val="0"/>
          <c:showBubbleSize val="0"/>
        </c:dLbls>
        <c:gapWidth val="0"/>
        <c:axId val="1052375264"/>
        <c:axId val="1"/>
      </c:barChart>
      <c:catAx>
        <c:axId val="1052375264"/>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523752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5225657768388698"/>
          <c:y val="0.15833333333333305"/>
          <c:w val="0.68669982715575228"/>
          <c:h val="0.64123496281714798"/>
        </c:manualLayout>
      </c:layout>
      <c:barChart>
        <c:barDir val="col"/>
        <c:grouping val="clustered"/>
        <c:varyColors val="1"/>
        <c:ser>
          <c:idx val="0"/>
          <c:order val="0"/>
          <c:tx>
            <c:strRef>
              <c:f>'Data Reduction Engine'!$R$5</c:f>
              <c:strCache>
                <c:ptCount val="1"/>
                <c:pt idx="0">
                  <c:v>z9a</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2BFF8"/>
                  </a:gs>
                  <a:gs pos="100000">
                    <a:srgbClr val="3670B6"/>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AA7E-B44A-8ECC-21D7B5334724}"/>
              </c:ext>
            </c:extLst>
          </c:dPt>
          <c:dPt>
            <c:idx val="1"/>
            <c:invertIfNegative val="0"/>
            <c:bubble3D val="0"/>
            <c:spPr>
              <a:gradFill rotWithShape="0">
                <a:gsLst>
                  <a:gs pos="0">
                    <a:srgbClr val="FAA1A0"/>
                  </a:gs>
                  <a:gs pos="100000">
                    <a:srgbClr val="B93734"/>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AA7E-B44A-8ECC-21D7B5334724}"/>
              </c:ext>
            </c:extLst>
          </c:dPt>
          <c:dPt>
            <c:idx val="2"/>
            <c:invertIfNegative val="0"/>
            <c:bubble3D val="0"/>
            <c:spPr>
              <a:gradFill rotWithShape="0">
                <a:gsLst>
                  <a:gs pos="0">
                    <a:srgbClr val="D4F4A6"/>
                  </a:gs>
                  <a:gs pos="100000">
                    <a:srgbClr val="8DB241"/>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AA7E-B44A-8ECC-21D7B5334724}"/>
              </c:ext>
            </c:extLst>
          </c:dPt>
          <c:dPt>
            <c:idx val="3"/>
            <c:invertIfNegative val="0"/>
            <c:bubble3D val="0"/>
            <c:spPr>
              <a:gradFill rotWithShape="0">
                <a:gsLst>
                  <a:gs pos="0">
                    <a:srgbClr val="C5B3E2"/>
                  </a:gs>
                  <a:gs pos="100000">
                    <a:srgbClr val="704F97"/>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AA7E-B44A-8ECC-21D7B5334724}"/>
              </c:ext>
            </c:extLst>
          </c:dPt>
          <c:dPt>
            <c:idx val="4"/>
            <c:invertIfNegative val="0"/>
            <c:bubble3D val="0"/>
            <c:spPr>
              <a:gradFill rotWithShape="0">
                <a:gsLst>
                  <a:gs pos="0">
                    <a:srgbClr val="9DE2FF"/>
                  </a:gs>
                  <a:gs pos="100000">
                    <a:srgbClr val="31A1C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AA7E-B44A-8ECC-21D7B5334724}"/>
              </c:ext>
            </c:extLst>
          </c:dPt>
          <c:dPt>
            <c:idx val="5"/>
            <c:invertIfNegative val="0"/>
            <c:bubble3D val="0"/>
            <c:spPr>
              <a:gradFill rotWithShape="0">
                <a:gsLst>
                  <a:gs pos="0">
                    <a:srgbClr val="FFB885"/>
                  </a:gs>
                  <a:gs pos="100000">
                    <a:srgbClr val="F28225"/>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AA7E-B44A-8ECC-21D7B5334724}"/>
              </c:ext>
            </c:extLst>
          </c:dPt>
          <c:dPt>
            <c:idx val="6"/>
            <c:invertIfNegative val="0"/>
            <c:bubble3D val="0"/>
            <c:spPr>
              <a:gradFill rotWithShape="0">
                <a:gsLst>
                  <a:gs pos="0">
                    <a:srgbClr val="B6D1FF"/>
                  </a:gs>
                  <a:gs pos="100000">
                    <a:srgbClr val="8AA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6-AA7E-B44A-8ECC-21D7B5334724}"/>
              </c:ext>
            </c:extLst>
          </c:dPt>
          <c:dPt>
            <c:idx val="7"/>
            <c:invertIfNegative val="0"/>
            <c:bubble3D val="0"/>
            <c:spPr>
              <a:gradFill rotWithShape="0">
                <a:gsLst>
                  <a:gs pos="0">
                    <a:srgbClr val="FFB6B4"/>
                  </a:gs>
                  <a:gs pos="100000">
                    <a:srgbClr val="DA8A8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AA7E-B44A-8ECC-21D7B5334724}"/>
              </c:ext>
            </c:extLst>
          </c:dPt>
          <c:dPt>
            <c:idx val="8"/>
            <c:invertIfNegative val="0"/>
            <c:bubble3D val="0"/>
            <c:spPr>
              <a:gradFill rotWithShape="0">
                <a:gsLst>
                  <a:gs pos="0">
                    <a:srgbClr val="E4FFBA"/>
                  </a:gs>
                  <a:gs pos="100000">
                    <a:srgbClr val="BBD68E"/>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AA7E-B44A-8ECC-21D7B5334724}"/>
              </c:ext>
            </c:extLst>
          </c:dPt>
          <c:dPt>
            <c:idx val="9"/>
            <c:invertIfNegative val="0"/>
            <c:bubble3D val="0"/>
            <c:spPr>
              <a:gradFill rotWithShape="0">
                <a:gsLst>
                  <a:gs pos="0">
                    <a:srgbClr val="D6C5F1"/>
                  </a:gs>
                  <a:gs pos="100000">
                    <a:srgbClr val="A896C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AA7E-B44A-8ECC-21D7B5334724}"/>
              </c:ext>
            </c:extLst>
          </c:dPt>
          <c:dPt>
            <c:idx val="10"/>
            <c:invertIfNegative val="0"/>
            <c:bubble3D val="0"/>
            <c:spPr>
              <a:gradFill rotWithShape="0">
                <a:gsLst>
                  <a:gs pos="0">
                    <a:srgbClr val="B2F1FF"/>
                  </a:gs>
                  <a:gs pos="100000">
                    <a:srgbClr val="87C8DF"/>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AA7E-B44A-8ECC-21D7B5334724}"/>
              </c:ext>
            </c:extLst>
          </c:dPt>
          <c:cat>
            <c:strRef>
              <c:f>'Data Reduction Engine'!$B$864:$B$874</c:f>
              <c:strCache>
                <c:ptCount val="11"/>
                <c:pt idx="0">
                  <c:v>(206/205)m</c:v>
                </c:pt>
                <c:pt idx="1">
                  <c:v>(207/206)m</c:v>
                </c:pt>
                <c:pt idx="2">
                  <c:v>(204/206)m</c:v>
                </c:pt>
                <c:pt idx="3">
                  <c:v>FPb</c:v>
                </c:pt>
                <c:pt idx="4">
                  <c:v>206Pb blank</c:v>
                </c:pt>
                <c:pt idx="5">
                  <c:v>(206/204)b</c:v>
                </c:pt>
                <c:pt idx="6">
                  <c:v>(207/206)c</c:v>
                </c:pt>
                <c:pt idx="7">
                  <c:v>(206/204)c</c:v>
                </c:pt>
                <c:pt idx="8">
                  <c:v>(206/205)t</c:v>
                </c:pt>
                <c:pt idx="9">
                  <c:v>(207/206)t</c:v>
                </c:pt>
                <c:pt idx="10">
                  <c:v>(204/205)t</c:v>
                </c:pt>
              </c:strCache>
            </c:strRef>
          </c:cat>
          <c:val>
            <c:numRef>
              <c:f>'Data Reduction Engine'!$R$864:$R$874</c:f>
              <c:numCache>
                <c:formatCode>0.00%</c:formatCode>
                <c:ptCount val="11"/>
                <c:pt idx="0">
                  <c:v>1.1661498622485573E-5</c:v>
                </c:pt>
                <c:pt idx="1">
                  <c:v>1.5969254104160818E-2</c:v>
                </c:pt>
                <c:pt idx="2">
                  <c:v>0.32237922315722639</c:v>
                </c:pt>
                <c:pt idx="3">
                  <c:v>3.0996939410950883E-3</c:v>
                </c:pt>
                <c:pt idx="4">
                  <c:v>1.8792978290157775E-2</c:v>
                </c:pt>
                <c:pt idx="5">
                  <c:v>0.63843038590011369</c:v>
                </c:pt>
                <c:pt idx="6">
                  <c:v>9.9999999999999995E-7</c:v>
                </c:pt>
                <c:pt idx="7">
                  <c:v>2.3536615368191594E-38</c:v>
                </c:pt>
                <c:pt idx="8">
                  <c:v>9.9999999999999995E-7</c:v>
                </c:pt>
                <c:pt idx="9">
                  <c:v>3.366285560671424E-12</c:v>
                </c:pt>
                <c:pt idx="10">
                  <c:v>1.316803105257504E-3</c:v>
                </c:pt>
              </c:numCache>
            </c:numRef>
          </c:val>
          <c:extLst>
            <c:ext xmlns:c16="http://schemas.microsoft.com/office/drawing/2014/chart" uri="{C3380CC4-5D6E-409C-BE32-E72D297353CC}">
              <c16:uniqueId val="{0000000B-AA7E-B44A-8ECC-21D7B5334724}"/>
            </c:ext>
          </c:extLst>
        </c:ser>
        <c:dLbls>
          <c:showLegendKey val="0"/>
          <c:showVal val="0"/>
          <c:showCatName val="0"/>
          <c:showSerName val="0"/>
          <c:showPercent val="0"/>
          <c:showBubbleSize val="0"/>
        </c:dLbls>
        <c:gapWidth val="0"/>
        <c:axId val="1052755248"/>
        <c:axId val="1"/>
      </c:barChart>
      <c:catAx>
        <c:axId val="1052755248"/>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527552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8876896485500305"/>
          <c:y val="0.15778546712802805"/>
          <c:w val="0.76535740349529513"/>
          <c:h val="0.59972318339100306"/>
        </c:manualLayout>
      </c:layout>
      <c:barChart>
        <c:barDir val="col"/>
        <c:grouping val="clustered"/>
        <c:varyColors val="1"/>
        <c:ser>
          <c:idx val="0"/>
          <c:order val="0"/>
          <c:tx>
            <c:strRef>
              <c:f>'Data Reduction Engine'!$S$5</c:f>
              <c:strCache>
                <c:ptCount val="1"/>
                <c:pt idx="0">
                  <c:v>z9b</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5BFF0"/>
                  </a:gs>
                  <a:gs pos="100000">
                    <a:srgbClr val="3268A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BF58-F749-8D37-61A1A6259E8E}"/>
              </c:ext>
            </c:extLst>
          </c:dPt>
          <c:dPt>
            <c:idx val="1"/>
            <c:invertIfNegative val="0"/>
            <c:bubble3D val="0"/>
            <c:spPr>
              <a:gradFill rotWithShape="0">
                <a:gsLst>
                  <a:gs pos="0">
                    <a:srgbClr val="F2A5A4"/>
                  </a:gs>
                  <a:gs pos="100000">
                    <a:srgbClr val="AD333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BF58-F749-8D37-61A1A6259E8E}"/>
              </c:ext>
            </c:extLst>
          </c:dPt>
          <c:dPt>
            <c:idx val="2"/>
            <c:invertIfNegative val="0"/>
            <c:bubble3D val="0"/>
            <c:spPr>
              <a:gradFill rotWithShape="0">
                <a:gsLst>
                  <a:gs pos="0">
                    <a:srgbClr val="D1EDA8"/>
                  </a:gs>
                  <a:gs pos="100000">
                    <a:srgbClr val="83A6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BF58-F749-8D37-61A1A6259E8E}"/>
              </c:ext>
            </c:extLst>
          </c:dPt>
          <c:dPt>
            <c:idx val="3"/>
            <c:invertIfNegative val="0"/>
            <c:bubble3D val="0"/>
            <c:spPr>
              <a:gradFill rotWithShape="0">
                <a:gsLst>
                  <a:gs pos="0">
                    <a:srgbClr val="C4B4DD"/>
                  </a:gs>
                  <a:gs pos="100000">
                    <a:srgbClr val="68498D"/>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BF58-F749-8D37-61A1A6259E8E}"/>
              </c:ext>
            </c:extLst>
          </c:dPt>
          <c:dPt>
            <c:idx val="4"/>
            <c:invertIfNegative val="0"/>
            <c:bubble3D val="0"/>
            <c:spPr>
              <a:gradFill rotWithShape="0">
                <a:gsLst>
                  <a:gs pos="0">
                    <a:srgbClr val="A1DDF6"/>
                  </a:gs>
                  <a:gs pos="100000">
                    <a:srgbClr val="2D96B3"/>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BF58-F749-8D37-61A1A6259E8E}"/>
              </c:ext>
            </c:extLst>
          </c:dPt>
          <c:dPt>
            <c:idx val="5"/>
            <c:invertIfNegative val="0"/>
            <c:bubble3D val="0"/>
            <c:spPr>
              <a:gradFill rotWithShape="0">
                <a:gsLst>
                  <a:gs pos="0">
                    <a:srgbClr val="FFB88C"/>
                  </a:gs>
                  <a:gs pos="100000">
                    <a:srgbClr val="E2792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BF58-F749-8D37-61A1A6259E8E}"/>
              </c:ext>
            </c:extLst>
          </c:dPt>
          <c:dPt>
            <c:idx val="6"/>
            <c:invertIfNegative val="0"/>
            <c:bubble3D val="0"/>
            <c:extLst>
              <c:ext xmlns:c16="http://schemas.microsoft.com/office/drawing/2014/chart" uri="{C3380CC4-5D6E-409C-BE32-E72D297353CC}">
                <c16:uniqueId val="{00000006-BF58-F749-8D37-61A1A6259E8E}"/>
              </c:ext>
            </c:extLst>
          </c:dPt>
          <c:dPt>
            <c:idx val="7"/>
            <c:invertIfNegative val="0"/>
            <c:bubble3D val="0"/>
            <c:spPr>
              <a:gradFill rotWithShape="0">
                <a:gsLst>
                  <a:gs pos="0">
                    <a:srgbClr val="FF9A99"/>
                  </a:gs>
                  <a:gs pos="100000">
                    <a:srgbClr val="D140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BF58-F749-8D37-61A1A6259E8E}"/>
              </c:ext>
            </c:extLst>
          </c:dPt>
          <c:dPt>
            <c:idx val="8"/>
            <c:invertIfNegative val="0"/>
            <c:bubble3D val="0"/>
            <c:spPr>
              <a:gradFill rotWithShape="0">
                <a:gsLst>
                  <a:gs pos="0">
                    <a:srgbClr val="DCFFA0"/>
                  </a:gs>
                  <a:gs pos="100000">
                    <a:srgbClr val="A0CA4A"/>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BF58-F749-8D37-61A1A6259E8E}"/>
              </c:ext>
            </c:extLst>
          </c:dPt>
          <c:dPt>
            <c:idx val="9"/>
            <c:invertIfNegative val="0"/>
            <c:bubble3D val="0"/>
            <c:spPr>
              <a:gradFill rotWithShape="0">
                <a:gsLst>
                  <a:gs pos="0">
                    <a:srgbClr val="C8B0ED"/>
                  </a:gs>
                  <a:gs pos="100000">
                    <a:srgbClr val="7F5BA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BF58-F749-8D37-61A1A6259E8E}"/>
              </c:ext>
            </c:extLst>
          </c:dPt>
          <c:dPt>
            <c:idx val="10"/>
            <c:invertIfNegative val="0"/>
            <c:bubble3D val="0"/>
            <c:spPr>
              <a:gradFill rotWithShape="0">
                <a:gsLst>
                  <a:gs pos="0">
                    <a:srgbClr val="95EEFF"/>
                  </a:gs>
                  <a:gs pos="100000">
                    <a:srgbClr val="39B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BF58-F749-8D37-61A1A6259E8E}"/>
              </c:ext>
            </c:extLst>
          </c:dPt>
          <c:dPt>
            <c:idx val="11"/>
            <c:invertIfNegative val="0"/>
            <c:bubble3D val="0"/>
            <c:spPr>
              <a:gradFill rotWithShape="0">
                <a:gsLst>
                  <a:gs pos="0">
                    <a:srgbClr val="FFB977"/>
                  </a:gs>
                  <a:gs pos="100000">
                    <a:srgbClr val="FF932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B-BF58-F749-8D37-61A1A6259E8E}"/>
              </c:ext>
            </c:extLst>
          </c:dPt>
          <c:cat>
            <c:strRef>
              <c:f>'Data Reduction Engine'!$B$838:$B$849</c:f>
              <c:strCache>
                <c:ptCount val="12"/>
                <c:pt idx="0">
                  <c:v>(206/205)m</c:v>
                </c:pt>
                <c:pt idx="1">
                  <c:v>(204/206)m</c:v>
                </c:pt>
                <c:pt idx="2">
                  <c:v>FPb</c:v>
                </c:pt>
                <c:pt idx="3">
                  <c:v>206Pb blank</c:v>
                </c:pt>
                <c:pt idx="4">
                  <c:v>(206/204)b</c:v>
                </c:pt>
                <c:pt idx="5">
                  <c:v>(206/204)c</c:v>
                </c:pt>
                <c:pt idx="6">
                  <c:v>(238/235)m</c:v>
                </c:pt>
                <c:pt idx="7">
                  <c:v>FU</c:v>
                </c:pt>
                <c:pt idx="8">
                  <c:v>238U blank</c:v>
                </c:pt>
                <c:pt idx="9">
                  <c:v>(Th/U)zircon</c:v>
                </c:pt>
                <c:pt idx="10">
                  <c:v>(Th/U)magma</c:v>
                </c:pt>
                <c:pt idx="11">
                  <c:v>(Th/U)initial</c:v>
                </c:pt>
              </c:strCache>
            </c:strRef>
          </c:cat>
          <c:val>
            <c:numRef>
              <c:f>'Data Reduction Engine'!$S$838:$S$849</c:f>
              <c:numCache>
                <c:formatCode>0.00%</c:formatCode>
                <c:ptCount val="12"/>
                <c:pt idx="0">
                  <c:v>9.5298341809223017E-2</c:v>
                </c:pt>
                <c:pt idx="1">
                  <c:v>0.15412921354473269</c:v>
                </c:pt>
                <c:pt idx="2">
                  <c:v>1.5302061220389632E-2</c:v>
                </c:pt>
                <c:pt idx="3">
                  <c:v>0.39317571386416206</c:v>
                </c:pt>
                <c:pt idx="4">
                  <c:v>0.28682554840428909</c:v>
                </c:pt>
                <c:pt idx="5">
                  <c:v>1.1998231257406635E-4</c:v>
                </c:pt>
                <c:pt idx="6">
                  <c:v>2.8109130486289203E-3</c:v>
                </c:pt>
                <c:pt idx="7">
                  <c:v>8.6746807513300456E-3</c:v>
                </c:pt>
                <c:pt idx="8">
                  <c:v>2.424724657663998E-3</c:v>
                </c:pt>
                <c:pt idx="9">
                  <c:v>1.0589106827934226E-4</c:v>
                </c:pt>
                <c:pt idx="10">
                  <c:v>3.7736632402501968E-2</c:v>
                </c:pt>
                <c:pt idx="11">
                  <c:v>3.3962969162251782E-3</c:v>
                </c:pt>
              </c:numCache>
            </c:numRef>
          </c:val>
          <c:extLst>
            <c:ext xmlns:c16="http://schemas.microsoft.com/office/drawing/2014/chart" uri="{C3380CC4-5D6E-409C-BE32-E72D297353CC}">
              <c16:uniqueId val="{0000000C-BF58-F749-8D37-61A1A6259E8E}"/>
            </c:ext>
          </c:extLst>
        </c:ser>
        <c:dLbls>
          <c:showLegendKey val="0"/>
          <c:showVal val="0"/>
          <c:showCatName val="0"/>
          <c:showSerName val="0"/>
          <c:showPercent val="0"/>
          <c:showBubbleSize val="0"/>
        </c:dLbls>
        <c:gapWidth val="0"/>
        <c:axId val="1052701872"/>
        <c:axId val="1"/>
      </c:barChart>
      <c:catAx>
        <c:axId val="1052701872"/>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527018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5225657768388698"/>
          <c:y val="0.15833333333333305"/>
          <c:w val="0.68669982715575228"/>
          <c:h val="0.64123496281714798"/>
        </c:manualLayout>
      </c:layout>
      <c:barChart>
        <c:barDir val="col"/>
        <c:grouping val="clustered"/>
        <c:varyColors val="1"/>
        <c:ser>
          <c:idx val="0"/>
          <c:order val="0"/>
          <c:tx>
            <c:strRef>
              <c:f>'Data Reduction Engine'!$S$5</c:f>
              <c:strCache>
                <c:ptCount val="1"/>
                <c:pt idx="0">
                  <c:v>z9b</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2BFF8"/>
                  </a:gs>
                  <a:gs pos="100000">
                    <a:srgbClr val="3670B6"/>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0A5E-5746-8C60-2A6E3DC3F57B}"/>
              </c:ext>
            </c:extLst>
          </c:dPt>
          <c:dPt>
            <c:idx val="1"/>
            <c:invertIfNegative val="0"/>
            <c:bubble3D val="0"/>
            <c:spPr>
              <a:gradFill rotWithShape="0">
                <a:gsLst>
                  <a:gs pos="0">
                    <a:srgbClr val="FAA1A0"/>
                  </a:gs>
                  <a:gs pos="100000">
                    <a:srgbClr val="B93734"/>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0A5E-5746-8C60-2A6E3DC3F57B}"/>
              </c:ext>
            </c:extLst>
          </c:dPt>
          <c:dPt>
            <c:idx val="2"/>
            <c:invertIfNegative val="0"/>
            <c:bubble3D val="0"/>
            <c:spPr>
              <a:gradFill rotWithShape="0">
                <a:gsLst>
                  <a:gs pos="0">
                    <a:srgbClr val="D4F4A6"/>
                  </a:gs>
                  <a:gs pos="100000">
                    <a:srgbClr val="8DB241"/>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0A5E-5746-8C60-2A6E3DC3F57B}"/>
              </c:ext>
            </c:extLst>
          </c:dPt>
          <c:dPt>
            <c:idx val="3"/>
            <c:invertIfNegative val="0"/>
            <c:bubble3D val="0"/>
            <c:spPr>
              <a:gradFill rotWithShape="0">
                <a:gsLst>
                  <a:gs pos="0">
                    <a:srgbClr val="C5B3E2"/>
                  </a:gs>
                  <a:gs pos="100000">
                    <a:srgbClr val="704F97"/>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0A5E-5746-8C60-2A6E3DC3F57B}"/>
              </c:ext>
            </c:extLst>
          </c:dPt>
          <c:dPt>
            <c:idx val="4"/>
            <c:invertIfNegative val="0"/>
            <c:bubble3D val="0"/>
            <c:spPr>
              <a:gradFill rotWithShape="0">
                <a:gsLst>
                  <a:gs pos="0">
                    <a:srgbClr val="9DE2FF"/>
                  </a:gs>
                  <a:gs pos="100000">
                    <a:srgbClr val="31A1C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0A5E-5746-8C60-2A6E3DC3F57B}"/>
              </c:ext>
            </c:extLst>
          </c:dPt>
          <c:dPt>
            <c:idx val="5"/>
            <c:invertIfNegative val="0"/>
            <c:bubble3D val="0"/>
            <c:spPr>
              <a:gradFill rotWithShape="0">
                <a:gsLst>
                  <a:gs pos="0">
                    <a:srgbClr val="FFB885"/>
                  </a:gs>
                  <a:gs pos="100000">
                    <a:srgbClr val="F28225"/>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0A5E-5746-8C60-2A6E3DC3F57B}"/>
              </c:ext>
            </c:extLst>
          </c:dPt>
          <c:dPt>
            <c:idx val="6"/>
            <c:invertIfNegative val="0"/>
            <c:bubble3D val="0"/>
            <c:spPr>
              <a:gradFill rotWithShape="0">
                <a:gsLst>
                  <a:gs pos="0">
                    <a:srgbClr val="B6D1FF"/>
                  </a:gs>
                  <a:gs pos="100000">
                    <a:srgbClr val="8AA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6-0A5E-5746-8C60-2A6E3DC3F57B}"/>
              </c:ext>
            </c:extLst>
          </c:dPt>
          <c:dPt>
            <c:idx val="7"/>
            <c:invertIfNegative val="0"/>
            <c:bubble3D val="0"/>
            <c:spPr>
              <a:gradFill rotWithShape="0">
                <a:gsLst>
                  <a:gs pos="0">
                    <a:srgbClr val="FFB6B4"/>
                  </a:gs>
                  <a:gs pos="100000">
                    <a:srgbClr val="DA8A8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0A5E-5746-8C60-2A6E3DC3F57B}"/>
              </c:ext>
            </c:extLst>
          </c:dPt>
          <c:dPt>
            <c:idx val="8"/>
            <c:invertIfNegative val="0"/>
            <c:bubble3D val="0"/>
            <c:spPr>
              <a:gradFill rotWithShape="0">
                <a:gsLst>
                  <a:gs pos="0">
                    <a:srgbClr val="E4FFBA"/>
                  </a:gs>
                  <a:gs pos="100000">
                    <a:srgbClr val="BBD68E"/>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0A5E-5746-8C60-2A6E3DC3F57B}"/>
              </c:ext>
            </c:extLst>
          </c:dPt>
          <c:dPt>
            <c:idx val="9"/>
            <c:invertIfNegative val="0"/>
            <c:bubble3D val="0"/>
            <c:spPr>
              <a:gradFill rotWithShape="0">
                <a:gsLst>
                  <a:gs pos="0">
                    <a:srgbClr val="D6C5F1"/>
                  </a:gs>
                  <a:gs pos="100000">
                    <a:srgbClr val="A896C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0A5E-5746-8C60-2A6E3DC3F57B}"/>
              </c:ext>
            </c:extLst>
          </c:dPt>
          <c:dPt>
            <c:idx val="10"/>
            <c:invertIfNegative val="0"/>
            <c:bubble3D val="0"/>
            <c:spPr>
              <a:gradFill rotWithShape="0">
                <a:gsLst>
                  <a:gs pos="0">
                    <a:srgbClr val="B2F1FF"/>
                  </a:gs>
                  <a:gs pos="100000">
                    <a:srgbClr val="87C8DF"/>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0A5E-5746-8C60-2A6E3DC3F57B}"/>
              </c:ext>
            </c:extLst>
          </c:dPt>
          <c:cat>
            <c:strRef>
              <c:f>'Data Reduction Engine'!$B$864:$B$874</c:f>
              <c:strCache>
                <c:ptCount val="11"/>
                <c:pt idx="0">
                  <c:v>(206/205)m</c:v>
                </c:pt>
                <c:pt idx="1">
                  <c:v>(207/206)m</c:v>
                </c:pt>
                <c:pt idx="2">
                  <c:v>(204/206)m</c:v>
                </c:pt>
                <c:pt idx="3">
                  <c:v>FPb</c:v>
                </c:pt>
                <c:pt idx="4">
                  <c:v>206Pb blank</c:v>
                </c:pt>
                <c:pt idx="5">
                  <c:v>(206/204)b</c:v>
                </c:pt>
                <c:pt idx="6">
                  <c:v>(207/206)c</c:v>
                </c:pt>
                <c:pt idx="7">
                  <c:v>(206/204)c</c:v>
                </c:pt>
                <c:pt idx="8">
                  <c:v>(206/205)t</c:v>
                </c:pt>
                <c:pt idx="9">
                  <c:v>(207/206)t</c:v>
                </c:pt>
                <c:pt idx="10">
                  <c:v>(204/205)t</c:v>
                </c:pt>
              </c:strCache>
            </c:strRef>
          </c:cat>
          <c:val>
            <c:numRef>
              <c:f>'Data Reduction Engine'!$S$864:$S$874</c:f>
              <c:numCache>
                <c:formatCode>0.00%</c:formatCode>
                <c:ptCount val="11"/>
                <c:pt idx="0">
                  <c:v>2.4597767320051816E-5</c:v>
                </c:pt>
                <c:pt idx="1">
                  <c:v>3.5426864211163832E-2</c:v>
                </c:pt>
                <c:pt idx="2">
                  <c:v>0.32945151391262789</c:v>
                </c:pt>
                <c:pt idx="3">
                  <c:v>2.7629923574177136E-3</c:v>
                </c:pt>
                <c:pt idx="4">
                  <c:v>1.7959088021631649E-2</c:v>
                </c:pt>
                <c:pt idx="5">
                  <c:v>0.61309020514263268</c:v>
                </c:pt>
                <c:pt idx="6">
                  <c:v>1.5991015776332335E-5</c:v>
                </c:pt>
                <c:pt idx="7">
                  <c:v>8.5012962607955092E-7</c:v>
                </c:pt>
                <c:pt idx="8">
                  <c:v>9.9999999999999995E-7</c:v>
                </c:pt>
                <c:pt idx="9">
                  <c:v>3.2439794441254394E-12</c:v>
                </c:pt>
                <c:pt idx="10">
                  <c:v>1.2678974385597261E-3</c:v>
                </c:pt>
              </c:numCache>
            </c:numRef>
          </c:val>
          <c:extLst>
            <c:ext xmlns:c16="http://schemas.microsoft.com/office/drawing/2014/chart" uri="{C3380CC4-5D6E-409C-BE32-E72D297353CC}">
              <c16:uniqueId val="{0000000B-0A5E-5746-8C60-2A6E3DC3F57B}"/>
            </c:ext>
          </c:extLst>
        </c:ser>
        <c:dLbls>
          <c:showLegendKey val="0"/>
          <c:showVal val="0"/>
          <c:showCatName val="0"/>
          <c:showSerName val="0"/>
          <c:showPercent val="0"/>
          <c:showBubbleSize val="0"/>
        </c:dLbls>
        <c:gapWidth val="0"/>
        <c:axId val="1052027744"/>
        <c:axId val="1"/>
      </c:barChart>
      <c:catAx>
        <c:axId val="1052027744"/>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520277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8876896485500305"/>
          <c:y val="0.15778546712802805"/>
          <c:w val="0.76535740349529513"/>
          <c:h val="0.59972318339100306"/>
        </c:manualLayout>
      </c:layout>
      <c:barChart>
        <c:barDir val="col"/>
        <c:grouping val="clustered"/>
        <c:varyColors val="1"/>
        <c:ser>
          <c:idx val="0"/>
          <c:order val="0"/>
          <c:tx>
            <c:strRef>
              <c:f>'Data Reduction Engine'!$T$5</c:f>
              <c:strCache>
                <c:ptCount val="1"/>
                <c:pt idx="0">
                  <c:v>z10a</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5BFF0"/>
                  </a:gs>
                  <a:gs pos="100000">
                    <a:srgbClr val="3268A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BC73-7D4A-A42B-368907CE2953}"/>
              </c:ext>
            </c:extLst>
          </c:dPt>
          <c:dPt>
            <c:idx val="1"/>
            <c:invertIfNegative val="0"/>
            <c:bubble3D val="0"/>
            <c:spPr>
              <a:gradFill rotWithShape="0">
                <a:gsLst>
                  <a:gs pos="0">
                    <a:srgbClr val="F2A5A4"/>
                  </a:gs>
                  <a:gs pos="100000">
                    <a:srgbClr val="AD333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BC73-7D4A-A42B-368907CE2953}"/>
              </c:ext>
            </c:extLst>
          </c:dPt>
          <c:dPt>
            <c:idx val="2"/>
            <c:invertIfNegative val="0"/>
            <c:bubble3D val="0"/>
            <c:spPr>
              <a:gradFill rotWithShape="0">
                <a:gsLst>
                  <a:gs pos="0">
                    <a:srgbClr val="D1EDA8"/>
                  </a:gs>
                  <a:gs pos="100000">
                    <a:srgbClr val="83A6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BC73-7D4A-A42B-368907CE2953}"/>
              </c:ext>
            </c:extLst>
          </c:dPt>
          <c:dPt>
            <c:idx val="3"/>
            <c:invertIfNegative val="0"/>
            <c:bubble3D val="0"/>
            <c:spPr>
              <a:gradFill rotWithShape="0">
                <a:gsLst>
                  <a:gs pos="0">
                    <a:srgbClr val="C4B4DD"/>
                  </a:gs>
                  <a:gs pos="100000">
                    <a:srgbClr val="68498D"/>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BC73-7D4A-A42B-368907CE2953}"/>
              </c:ext>
            </c:extLst>
          </c:dPt>
          <c:dPt>
            <c:idx val="4"/>
            <c:invertIfNegative val="0"/>
            <c:bubble3D val="0"/>
            <c:spPr>
              <a:gradFill rotWithShape="0">
                <a:gsLst>
                  <a:gs pos="0">
                    <a:srgbClr val="A1DDF6"/>
                  </a:gs>
                  <a:gs pos="100000">
                    <a:srgbClr val="2D96B3"/>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BC73-7D4A-A42B-368907CE2953}"/>
              </c:ext>
            </c:extLst>
          </c:dPt>
          <c:dPt>
            <c:idx val="5"/>
            <c:invertIfNegative val="0"/>
            <c:bubble3D val="0"/>
            <c:spPr>
              <a:gradFill rotWithShape="0">
                <a:gsLst>
                  <a:gs pos="0">
                    <a:srgbClr val="FFB88C"/>
                  </a:gs>
                  <a:gs pos="100000">
                    <a:srgbClr val="E2792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BC73-7D4A-A42B-368907CE2953}"/>
              </c:ext>
            </c:extLst>
          </c:dPt>
          <c:dPt>
            <c:idx val="6"/>
            <c:invertIfNegative val="0"/>
            <c:bubble3D val="0"/>
            <c:extLst>
              <c:ext xmlns:c16="http://schemas.microsoft.com/office/drawing/2014/chart" uri="{C3380CC4-5D6E-409C-BE32-E72D297353CC}">
                <c16:uniqueId val="{00000006-BC73-7D4A-A42B-368907CE2953}"/>
              </c:ext>
            </c:extLst>
          </c:dPt>
          <c:dPt>
            <c:idx val="7"/>
            <c:invertIfNegative val="0"/>
            <c:bubble3D val="0"/>
            <c:spPr>
              <a:gradFill rotWithShape="0">
                <a:gsLst>
                  <a:gs pos="0">
                    <a:srgbClr val="FF9A99"/>
                  </a:gs>
                  <a:gs pos="100000">
                    <a:srgbClr val="D140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BC73-7D4A-A42B-368907CE2953}"/>
              </c:ext>
            </c:extLst>
          </c:dPt>
          <c:dPt>
            <c:idx val="8"/>
            <c:invertIfNegative val="0"/>
            <c:bubble3D val="0"/>
            <c:spPr>
              <a:gradFill rotWithShape="0">
                <a:gsLst>
                  <a:gs pos="0">
                    <a:srgbClr val="DCFFA0"/>
                  </a:gs>
                  <a:gs pos="100000">
                    <a:srgbClr val="A0CA4A"/>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BC73-7D4A-A42B-368907CE2953}"/>
              </c:ext>
            </c:extLst>
          </c:dPt>
          <c:dPt>
            <c:idx val="9"/>
            <c:invertIfNegative val="0"/>
            <c:bubble3D val="0"/>
            <c:spPr>
              <a:gradFill rotWithShape="0">
                <a:gsLst>
                  <a:gs pos="0">
                    <a:srgbClr val="C8B0ED"/>
                  </a:gs>
                  <a:gs pos="100000">
                    <a:srgbClr val="7F5BA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BC73-7D4A-A42B-368907CE2953}"/>
              </c:ext>
            </c:extLst>
          </c:dPt>
          <c:dPt>
            <c:idx val="10"/>
            <c:invertIfNegative val="0"/>
            <c:bubble3D val="0"/>
            <c:spPr>
              <a:gradFill rotWithShape="0">
                <a:gsLst>
                  <a:gs pos="0">
                    <a:srgbClr val="95EEFF"/>
                  </a:gs>
                  <a:gs pos="100000">
                    <a:srgbClr val="39B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BC73-7D4A-A42B-368907CE2953}"/>
              </c:ext>
            </c:extLst>
          </c:dPt>
          <c:dPt>
            <c:idx val="11"/>
            <c:invertIfNegative val="0"/>
            <c:bubble3D val="0"/>
            <c:spPr>
              <a:gradFill rotWithShape="0">
                <a:gsLst>
                  <a:gs pos="0">
                    <a:srgbClr val="FFB977"/>
                  </a:gs>
                  <a:gs pos="100000">
                    <a:srgbClr val="FF932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B-BC73-7D4A-A42B-368907CE2953}"/>
              </c:ext>
            </c:extLst>
          </c:dPt>
          <c:cat>
            <c:strRef>
              <c:f>'Data Reduction Engine'!$B$838:$B$849</c:f>
              <c:strCache>
                <c:ptCount val="12"/>
                <c:pt idx="0">
                  <c:v>(206/205)m</c:v>
                </c:pt>
                <c:pt idx="1">
                  <c:v>(204/206)m</c:v>
                </c:pt>
                <c:pt idx="2">
                  <c:v>FPb</c:v>
                </c:pt>
                <c:pt idx="3">
                  <c:v>206Pb blank</c:v>
                </c:pt>
                <c:pt idx="4">
                  <c:v>(206/204)b</c:v>
                </c:pt>
                <c:pt idx="5">
                  <c:v>(206/204)c</c:v>
                </c:pt>
                <c:pt idx="6">
                  <c:v>(238/235)m</c:v>
                </c:pt>
                <c:pt idx="7">
                  <c:v>FU</c:v>
                </c:pt>
                <c:pt idx="8">
                  <c:v>238U blank</c:v>
                </c:pt>
                <c:pt idx="9">
                  <c:v>(Th/U)zircon</c:v>
                </c:pt>
                <c:pt idx="10">
                  <c:v>(Th/U)magma</c:v>
                </c:pt>
                <c:pt idx="11">
                  <c:v>(Th/U)initial</c:v>
                </c:pt>
              </c:strCache>
            </c:strRef>
          </c:cat>
          <c:val>
            <c:numRef>
              <c:f>'Data Reduction Engine'!$T$838:$T$849</c:f>
              <c:numCache>
                <c:formatCode>0.00%</c:formatCode>
                <c:ptCount val="12"/>
                <c:pt idx="0">
                  <c:v>4.8054174816625578E-2</c:v>
                </c:pt>
                <c:pt idx="1">
                  <c:v>0.19516455913941946</c:v>
                </c:pt>
                <c:pt idx="2">
                  <c:v>1.2780612826979123E-2</c:v>
                </c:pt>
                <c:pt idx="3">
                  <c:v>0.39883554441190483</c:v>
                </c:pt>
                <c:pt idx="4">
                  <c:v>0.29095445042821355</c:v>
                </c:pt>
                <c:pt idx="5">
                  <c:v>1.1605100251787461E-2</c:v>
                </c:pt>
                <c:pt idx="6">
                  <c:v>2.6014481814055452E-3</c:v>
                </c:pt>
                <c:pt idx="7">
                  <c:v>6.9922661240691816E-3</c:v>
                </c:pt>
                <c:pt idx="8">
                  <c:v>2.4304581568308061E-3</c:v>
                </c:pt>
                <c:pt idx="9">
                  <c:v>1.1268903462802705E-4</c:v>
                </c:pt>
                <c:pt idx="10">
                  <c:v>2.7952932686363893E-2</c:v>
                </c:pt>
                <c:pt idx="11">
                  <c:v>2.5157639417727512E-3</c:v>
                </c:pt>
              </c:numCache>
            </c:numRef>
          </c:val>
          <c:extLst>
            <c:ext xmlns:c16="http://schemas.microsoft.com/office/drawing/2014/chart" uri="{C3380CC4-5D6E-409C-BE32-E72D297353CC}">
              <c16:uniqueId val="{0000000C-BC73-7D4A-A42B-368907CE2953}"/>
            </c:ext>
          </c:extLst>
        </c:ser>
        <c:dLbls>
          <c:showLegendKey val="0"/>
          <c:showVal val="0"/>
          <c:showCatName val="0"/>
          <c:showSerName val="0"/>
          <c:showPercent val="0"/>
          <c:showBubbleSize val="0"/>
        </c:dLbls>
        <c:gapWidth val="0"/>
        <c:axId val="1052023040"/>
        <c:axId val="1"/>
      </c:barChart>
      <c:catAx>
        <c:axId val="1052023040"/>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5202304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5225657768388698"/>
          <c:y val="0.15833333333333305"/>
          <c:w val="0.68669982715575228"/>
          <c:h val="0.64123496281714798"/>
        </c:manualLayout>
      </c:layout>
      <c:barChart>
        <c:barDir val="col"/>
        <c:grouping val="clustered"/>
        <c:varyColors val="1"/>
        <c:ser>
          <c:idx val="0"/>
          <c:order val="0"/>
          <c:tx>
            <c:strRef>
              <c:f>'Data Reduction Engine'!$T$5</c:f>
              <c:strCache>
                <c:ptCount val="1"/>
                <c:pt idx="0">
                  <c:v>z10a</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2BFF8"/>
                  </a:gs>
                  <a:gs pos="100000">
                    <a:srgbClr val="3670B6"/>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7F3D-5944-9E2A-D4A4F4D3CB2D}"/>
              </c:ext>
            </c:extLst>
          </c:dPt>
          <c:dPt>
            <c:idx val="1"/>
            <c:invertIfNegative val="0"/>
            <c:bubble3D val="0"/>
            <c:spPr>
              <a:gradFill rotWithShape="0">
                <a:gsLst>
                  <a:gs pos="0">
                    <a:srgbClr val="FAA1A0"/>
                  </a:gs>
                  <a:gs pos="100000">
                    <a:srgbClr val="B93734"/>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7F3D-5944-9E2A-D4A4F4D3CB2D}"/>
              </c:ext>
            </c:extLst>
          </c:dPt>
          <c:dPt>
            <c:idx val="2"/>
            <c:invertIfNegative val="0"/>
            <c:bubble3D val="0"/>
            <c:spPr>
              <a:gradFill rotWithShape="0">
                <a:gsLst>
                  <a:gs pos="0">
                    <a:srgbClr val="D4F4A6"/>
                  </a:gs>
                  <a:gs pos="100000">
                    <a:srgbClr val="8DB241"/>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7F3D-5944-9E2A-D4A4F4D3CB2D}"/>
              </c:ext>
            </c:extLst>
          </c:dPt>
          <c:dPt>
            <c:idx val="3"/>
            <c:invertIfNegative val="0"/>
            <c:bubble3D val="0"/>
            <c:spPr>
              <a:gradFill rotWithShape="0">
                <a:gsLst>
                  <a:gs pos="0">
                    <a:srgbClr val="C5B3E2"/>
                  </a:gs>
                  <a:gs pos="100000">
                    <a:srgbClr val="704F97"/>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7F3D-5944-9E2A-D4A4F4D3CB2D}"/>
              </c:ext>
            </c:extLst>
          </c:dPt>
          <c:dPt>
            <c:idx val="4"/>
            <c:invertIfNegative val="0"/>
            <c:bubble3D val="0"/>
            <c:spPr>
              <a:gradFill rotWithShape="0">
                <a:gsLst>
                  <a:gs pos="0">
                    <a:srgbClr val="9DE2FF"/>
                  </a:gs>
                  <a:gs pos="100000">
                    <a:srgbClr val="31A1C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7F3D-5944-9E2A-D4A4F4D3CB2D}"/>
              </c:ext>
            </c:extLst>
          </c:dPt>
          <c:dPt>
            <c:idx val="5"/>
            <c:invertIfNegative val="0"/>
            <c:bubble3D val="0"/>
            <c:spPr>
              <a:gradFill rotWithShape="0">
                <a:gsLst>
                  <a:gs pos="0">
                    <a:srgbClr val="FFB885"/>
                  </a:gs>
                  <a:gs pos="100000">
                    <a:srgbClr val="F28225"/>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7F3D-5944-9E2A-D4A4F4D3CB2D}"/>
              </c:ext>
            </c:extLst>
          </c:dPt>
          <c:dPt>
            <c:idx val="6"/>
            <c:invertIfNegative val="0"/>
            <c:bubble3D val="0"/>
            <c:spPr>
              <a:gradFill rotWithShape="0">
                <a:gsLst>
                  <a:gs pos="0">
                    <a:srgbClr val="B6D1FF"/>
                  </a:gs>
                  <a:gs pos="100000">
                    <a:srgbClr val="8AA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6-7F3D-5944-9E2A-D4A4F4D3CB2D}"/>
              </c:ext>
            </c:extLst>
          </c:dPt>
          <c:dPt>
            <c:idx val="7"/>
            <c:invertIfNegative val="0"/>
            <c:bubble3D val="0"/>
            <c:spPr>
              <a:gradFill rotWithShape="0">
                <a:gsLst>
                  <a:gs pos="0">
                    <a:srgbClr val="FFB6B4"/>
                  </a:gs>
                  <a:gs pos="100000">
                    <a:srgbClr val="DA8A8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7F3D-5944-9E2A-D4A4F4D3CB2D}"/>
              </c:ext>
            </c:extLst>
          </c:dPt>
          <c:dPt>
            <c:idx val="8"/>
            <c:invertIfNegative val="0"/>
            <c:bubble3D val="0"/>
            <c:spPr>
              <a:gradFill rotWithShape="0">
                <a:gsLst>
                  <a:gs pos="0">
                    <a:srgbClr val="E4FFBA"/>
                  </a:gs>
                  <a:gs pos="100000">
                    <a:srgbClr val="BBD68E"/>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7F3D-5944-9E2A-D4A4F4D3CB2D}"/>
              </c:ext>
            </c:extLst>
          </c:dPt>
          <c:dPt>
            <c:idx val="9"/>
            <c:invertIfNegative val="0"/>
            <c:bubble3D val="0"/>
            <c:spPr>
              <a:gradFill rotWithShape="0">
                <a:gsLst>
                  <a:gs pos="0">
                    <a:srgbClr val="D6C5F1"/>
                  </a:gs>
                  <a:gs pos="100000">
                    <a:srgbClr val="A896C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7F3D-5944-9E2A-D4A4F4D3CB2D}"/>
              </c:ext>
            </c:extLst>
          </c:dPt>
          <c:dPt>
            <c:idx val="10"/>
            <c:invertIfNegative val="0"/>
            <c:bubble3D val="0"/>
            <c:spPr>
              <a:gradFill rotWithShape="0">
                <a:gsLst>
                  <a:gs pos="0">
                    <a:srgbClr val="B2F1FF"/>
                  </a:gs>
                  <a:gs pos="100000">
                    <a:srgbClr val="87C8DF"/>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7F3D-5944-9E2A-D4A4F4D3CB2D}"/>
              </c:ext>
            </c:extLst>
          </c:dPt>
          <c:cat>
            <c:strRef>
              <c:f>'Data Reduction Engine'!$B$864:$B$874</c:f>
              <c:strCache>
                <c:ptCount val="11"/>
                <c:pt idx="0">
                  <c:v>(206/205)m</c:v>
                </c:pt>
                <c:pt idx="1">
                  <c:v>(207/206)m</c:v>
                </c:pt>
                <c:pt idx="2">
                  <c:v>(204/206)m</c:v>
                </c:pt>
                <c:pt idx="3">
                  <c:v>FPb</c:v>
                </c:pt>
                <c:pt idx="4">
                  <c:v>206Pb blank</c:v>
                </c:pt>
                <c:pt idx="5">
                  <c:v>(206/204)b</c:v>
                </c:pt>
                <c:pt idx="6">
                  <c:v>(207/206)c</c:v>
                </c:pt>
                <c:pt idx="7">
                  <c:v>(206/204)c</c:v>
                </c:pt>
                <c:pt idx="8">
                  <c:v>(206/205)t</c:v>
                </c:pt>
                <c:pt idx="9">
                  <c:v>(207/206)t</c:v>
                </c:pt>
                <c:pt idx="10">
                  <c:v>(204/205)t</c:v>
                </c:pt>
              </c:strCache>
            </c:strRef>
          </c:cat>
          <c:val>
            <c:numRef>
              <c:f>'Data Reduction Engine'!$T$864:$T$874</c:f>
              <c:numCache>
                <c:formatCode>0.00%</c:formatCode>
                <c:ptCount val="11"/>
                <c:pt idx="0">
                  <c:v>2.7646787157683584E-5</c:v>
                </c:pt>
                <c:pt idx="1">
                  <c:v>8.973507294123434E-2</c:v>
                </c:pt>
                <c:pt idx="2">
                  <c:v>0.35655804605371266</c:v>
                </c:pt>
                <c:pt idx="3">
                  <c:v>2.9683041151484014E-3</c:v>
                </c:pt>
                <c:pt idx="4">
                  <c:v>1.5485752298151086E-2</c:v>
                </c:pt>
                <c:pt idx="5">
                  <c:v>0.53156244552170739</c:v>
                </c:pt>
                <c:pt idx="6">
                  <c:v>1.3232369221084226E-3</c:v>
                </c:pt>
                <c:pt idx="7">
                  <c:v>7.1496447361187179E-5</c:v>
                </c:pt>
                <c:pt idx="8">
                  <c:v>9.9999999999999995E-7</c:v>
                </c:pt>
                <c:pt idx="9">
                  <c:v>5.8082320600739582E-12</c:v>
                </c:pt>
                <c:pt idx="10">
                  <c:v>2.2679989076105846E-3</c:v>
                </c:pt>
              </c:numCache>
            </c:numRef>
          </c:val>
          <c:extLst>
            <c:ext xmlns:c16="http://schemas.microsoft.com/office/drawing/2014/chart" uri="{C3380CC4-5D6E-409C-BE32-E72D297353CC}">
              <c16:uniqueId val="{0000000B-7F3D-5944-9E2A-D4A4F4D3CB2D}"/>
            </c:ext>
          </c:extLst>
        </c:ser>
        <c:dLbls>
          <c:showLegendKey val="0"/>
          <c:showVal val="0"/>
          <c:showCatName val="0"/>
          <c:showSerName val="0"/>
          <c:showPercent val="0"/>
          <c:showBubbleSize val="0"/>
        </c:dLbls>
        <c:gapWidth val="0"/>
        <c:axId val="1052671536"/>
        <c:axId val="1"/>
      </c:barChart>
      <c:catAx>
        <c:axId val="1052671536"/>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526715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8876896485500305"/>
          <c:y val="0.15778546712802805"/>
          <c:w val="0.76535740349529513"/>
          <c:h val="0.59972318339100306"/>
        </c:manualLayout>
      </c:layout>
      <c:barChart>
        <c:barDir val="col"/>
        <c:grouping val="clustered"/>
        <c:varyColors val="1"/>
        <c:ser>
          <c:idx val="0"/>
          <c:order val="0"/>
          <c:tx>
            <c:strRef>
              <c:f>'Data Reduction Engine'!$U$5</c:f>
              <c:strCache>
                <c:ptCount val="1"/>
                <c:pt idx="0">
                  <c:v>z10b</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5BFF0"/>
                  </a:gs>
                  <a:gs pos="100000">
                    <a:srgbClr val="3268A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FE9C-554D-804B-862C66D21363}"/>
              </c:ext>
            </c:extLst>
          </c:dPt>
          <c:dPt>
            <c:idx val="1"/>
            <c:invertIfNegative val="0"/>
            <c:bubble3D val="0"/>
            <c:spPr>
              <a:gradFill rotWithShape="0">
                <a:gsLst>
                  <a:gs pos="0">
                    <a:srgbClr val="F2A5A4"/>
                  </a:gs>
                  <a:gs pos="100000">
                    <a:srgbClr val="AD333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FE9C-554D-804B-862C66D21363}"/>
              </c:ext>
            </c:extLst>
          </c:dPt>
          <c:dPt>
            <c:idx val="2"/>
            <c:invertIfNegative val="0"/>
            <c:bubble3D val="0"/>
            <c:spPr>
              <a:gradFill rotWithShape="0">
                <a:gsLst>
                  <a:gs pos="0">
                    <a:srgbClr val="D1EDA8"/>
                  </a:gs>
                  <a:gs pos="100000">
                    <a:srgbClr val="83A6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FE9C-554D-804B-862C66D21363}"/>
              </c:ext>
            </c:extLst>
          </c:dPt>
          <c:dPt>
            <c:idx val="3"/>
            <c:invertIfNegative val="0"/>
            <c:bubble3D val="0"/>
            <c:spPr>
              <a:gradFill rotWithShape="0">
                <a:gsLst>
                  <a:gs pos="0">
                    <a:srgbClr val="C4B4DD"/>
                  </a:gs>
                  <a:gs pos="100000">
                    <a:srgbClr val="68498D"/>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FE9C-554D-804B-862C66D21363}"/>
              </c:ext>
            </c:extLst>
          </c:dPt>
          <c:dPt>
            <c:idx val="4"/>
            <c:invertIfNegative val="0"/>
            <c:bubble3D val="0"/>
            <c:spPr>
              <a:gradFill rotWithShape="0">
                <a:gsLst>
                  <a:gs pos="0">
                    <a:srgbClr val="A1DDF6"/>
                  </a:gs>
                  <a:gs pos="100000">
                    <a:srgbClr val="2D96B3"/>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FE9C-554D-804B-862C66D21363}"/>
              </c:ext>
            </c:extLst>
          </c:dPt>
          <c:dPt>
            <c:idx val="5"/>
            <c:invertIfNegative val="0"/>
            <c:bubble3D val="0"/>
            <c:spPr>
              <a:gradFill rotWithShape="0">
                <a:gsLst>
                  <a:gs pos="0">
                    <a:srgbClr val="FFB88C"/>
                  </a:gs>
                  <a:gs pos="100000">
                    <a:srgbClr val="E2792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FE9C-554D-804B-862C66D21363}"/>
              </c:ext>
            </c:extLst>
          </c:dPt>
          <c:dPt>
            <c:idx val="6"/>
            <c:invertIfNegative val="0"/>
            <c:bubble3D val="0"/>
            <c:extLst>
              <c:ext xmlns:c16="http://schemas.microsoft.com/office/drawing/2014/chart" uri="{C3380CC4-5D6E-409C-BE32-E72D297353CC}">
                <c16:uniqueId val="{00000006-FE9C-554D-804B-862C66D21363}"/>
              </c:ext>
            </c:extLst>
          </c:dPt>
          <c:dPt>
            <c:idx val="7"/>
            <c:invertIfNegative val="0"/>
            <c:bubble3D val="0"/>
            <c:spPr>
              <a:gradFill rotWithShape="0">
                <a:gsLst>
                  <a:gs pos="0">
                    <a:srgbClr val="FF9A99"/>
                  </a:gs>
                  <a:gs pos="100000">
                    <a:srgbClr val="D140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FE9C-554D-804B-862C66D21363}"/>
              </c:ext>
            </c:extLst>
          </c:dPt>
          <c:dPt>
            <c:idx val="8"/>
            <c:invertIfNegative val="0"/>
            <c:bubble3D val="0"/>
            <c:spPr>
              <a:gradFill rotWithShape="0">
                <a:gsLst>
                  <a:gs pos="0">
                    <a:srgbClr val="DCFFA0"/>
                  </a:gs>
                  <a:gs pos="100000">
                    <a:srgbClr val="A0CA4A"/>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FE9C-554D-804B-862C66D21363}"/>
              </c:ext>
            </c:extLst>
          </c:dPt>
          <c:dPt>
            <c:idx val="9"/>
            <c:invertIfNegative val="0"/>
            <c:bubble3D val="0"/>
            <c:spPr>
              <a:gradFill rotWithShape="0">
                <a:gsLst>
                  <a:gs pos="0">
                    <a:srgbClr val="C8B0ED"/>
                  </a:gs>
                  <a:gs pos="100000">
                    <a:srgbClr val="7F5BA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FE9C-554D-804B-862C66D21363}"/>
              </c:ext>
            </c:extLst>
          </c:dPt>
          <c:dPt>
            <c:idx val="10"/>
            <c:invertIfNegative val="0"/>
            <c:bubble3D val="0"/>
            <c:spPr>
              <a:gradFill rotWithShape="0">
                <a:gsLst>
                  <a:gs pos="0">
                    <a:srgbClr val="95EEFF"/>
                  </a:gs>
                  <a:gs pos="100000">
                    <a:srgbClr val="39B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FE9C-554D-804B-862C66D21363}"/>
              </c:ext>
            </c:extLst>
          </c:dPt>
          <c:dPt>
            <c:idx val="11"/>
            <c:invertIfNegative val="0"/>
            <c:bubble3D val="0"/>
            <c:spPr>
              <a:gradFill rotWithShape="0">
                <a:gsLst>
                  <a:gs pos="0">
                    <a:srgbClr val="FFB977"/>
                  </a:gs>
                  <a:gs pos="100000">
                    <a:srgbClr val="FF932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B-FE9C-554D-804B-862C66D21363}"/>
              </c:ext>
            </c:extLst>
          </c:dPt>
          <c:cat>
            <c:strRef>
              <c:f>'Data Reduction Engine'!$B$838:$B$849</c:f>
              <c:strCache>
                <c:ptCount val="12"/>
                <c:pt idx="0">
                  <c:v>(206/205)m</c:v>
                </c:pt>
                <c:pt idx="1">
                  <c:v>(204/206)m</c:v>
                </c:pt>
                <c:pt idx="2">
                  <c:v>FPb</c:v>
                </c:pt>
                <c:pt idx="3">
                  <c:v>206Pb blank</c:v>
                </c:pt>
                <c:pt idx="4">
                  <c:v>(206/204)b</c:v>
                </c:pt>
                <c:pt idx="5">
                  <c:v>(206/204)c</c:v>
                </c:pt>
                <c:pt idx="6">
                  <c:v>(238/235)m</c:v>
                </c:pt>
                <c:pt idx="7">
                  <c:v>FU</c:v>
                </c:pt>
                <c:pt idx="8">
                  <c:v>238U blank</c:v>
                </c:pt>
                <c:pt idx="9">
                  <c:v>(Th/U)zircon</c:v>
                </c:pt>
                <c:pt idx="10">
                  <c:v>(Th/U)magma</c:v>
                </c:pt>
                <c:pt idx="11">
                  <c:v>(Th/U)initial</c:v>
                </c:pt>
              </c:strCache>
            </c:strRef>
          </c:cat>
          <c:val>
            <c:numRef>
              <c:f>'Data Reduction Engine'!$U$838:$U$849</c:f>
              <c:numCache>
                <c:formatCode>0.00%</c:formatCode>
                <c:ptCount val="12"/>
                <c:pt idx="0">
                  <c:v>2.6907976886867149E-2</c:v>
                </c:pt>
                <c:pt idx="1">
                  <c:v>0.11351503778669507</c:v>
                </c:pt>
                <c:pt idx="2">
                  <c:v>7.7094529540351689E-3</c:v>
                </c:pt>
                <c:pt idx="3">
                  <c:v>0.46076702347245457</c:v>
                </c:pt>
                <c:pt idx="4">
                  <c:v>0.33613407322446803</c:v>
                </c:pt>
                <c:pt idx="5">
                  <c:v>2.4622350727552401E-2</c:v>
                </c:pt>
                <c:pt idx="6">
                  <c:v>5.8377510907306291E-3</c:v>
                </c:pt>
                <c:pt idx="7">
                  <c:v>2.9172248586112081E-3</c:v>
                </c:pt>
                <c:pt idx="8">
                  <c:v>2.8040931936835867E-3</c:v>
                </c:pt>
                <c:pt idx="9">
                  <c:v>1.0808717009752795E-4</c:v>
                </c:pt>
                <c:pt idx="10">
                  <c:v>1.7134796912664861E-2</c:v>
                </c:pt>
                <c:pt idx="11">
                  <c:v>1.5421317221398381E-3</c:v>
                </c:pt>
              </c:numCache>
            </c:numRef>
          </c:val>
          <c:extLst>
            <c:ext xmlns:c16="http://schemas.microsoft.com/office/drawing/2014/chart" uri="{C3380CC4-5D6E-409C-BE32-E72D297353CC}">
              <c16:uniqueId val="{0000000C-FE9C-554D-804B-862C66D21363}"/>
            </c:ext>
          </c:extLst>
        </c:ser>
        <c:dLbls>
          <c:showLegendKey val="0"/>
          <c:showVal val="0"/>
          <c:showCatName val="0"/>
          <c:showSerName val="0"/>
          <c:showPercent val="0"/>
          <c:showBubbleSize val="0"/>
        </c:dLbls>
        <c:gapWidth val="0"/>
        <c:axId val="1242501680"/>
        <c:axId val="1"/>
      </c:barChart>
      <c:catAx>
        <c:axId val="1242501680"/>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24250168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5225657768388698"/>
          <c:y val="0.15833333333333305"/>
          <c:w val="0.68669982715575228"/>
          <c:h val="0.64123496281714798"/>
        </c:manualLayout>
      </c:layout>
      <c:barChart>
        <c:barDir val="col"/>
        <c:grouping val="clustered"/>
        <c:varyColors val="1"/>
        <c:ser>
          <c:idx val="0"/>
          <c:order val="0"/>
          <c:tx>
            <c:strRef>
              <c:f>'Data Reduction Engine'!$U$5</c:f>
              <c:strCache>
                <c:ptCount val="1"/>
                <c:pt idx="0">
                  <c:v>z10b</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2BFF8"/>
                  </a:gs>
                  <a:gs pos="100000">
                    <a:srgbClr val="3670B6"/>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278F-F14B-8542-9BE7C27C1C06}"/>
              </c:ext>
            </c:extLst>
          </c:dPt>
          <c:dPt>
            <c:idx val="1"/>
            <c:invertIfNegative val="0"/>
            <c:bubble3D val="0"/>
            <c:spPr>
              <a:gradFill rotWithShape="0">
                <a:gsLst>
                  <a:gs pos="0">
                    <a:srgbClr val="FAA1A0"/>
                  </a:gs>
                  <a:gs pos="100000">
                    <a:srgbClr val="B93734"/>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278F-F14B-8542-9BE7C27C1C06}"/>
              </c:ext>
            </c:extLst>
          </c:dPt>
          <c:dPt>
            <c:idx val="2"/>
            <c:invertIfNegative val="0"/>
            <c:bubble3D val="0"/>
            <c:spPr>
              <a:gradFill rotWithShape="0">
                <a:gsLst>
                  <a:gs pos="0">
                    <a:srgbClr val="D4F4A6"/>
                  </a:gs>
                  <a:gs pos="100000">
                    <a:srgbClr val="8DB241"/>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278F-F14B-8542-9BE7C27C1C06}"/>
              </c:ext>
            </c:extLst>
          </c:dPt>
          <c:dPt>
            <c:idx val="3"/>
            <c:invertIfNegative val="0"/>
            <c:bubble3D val="0"/>
            <c:spPr>
              <a:gradFill rotWithShape="0">
                <a:gsLst>
                  <a:gs pos="0">
                    <a:srgbClr val="C5B3E2"/>
                  </a:gs>
                  <a:gs pos="100000">
                    <a:srgbClr val="704F97"/>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278F-F14B-8542-9BE7C27C1C06}"/>
              </c:ext>
            </c:extLst>
          </c:dPt>
          <c:dPt>
            <c:idx val="4"/>
            <c:invertIfNegative val="0"/>
            <c:bubble3D val="0"/>
            <c:spPr>
              <a:gradFill rotWithShape="0">
                <a:gsLst>
                  <a:gs pos="0">
                    <a:srgbClr val="9DE2FF"/>
                  </a:gs>
                  <a:gs pos="100000">
                    <a:srgbClr val="31A1C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278F-F14B-8542-9BE7C27C1C06}"/>
              </c:ext>
            </c:extLst>
          </c:dPt>
          <c:dPt>
            <c:idx val="5"/>
            <c:invertIfNegative val="0"/>
            <c:bubble3D val="0"/>
            <c:spPr>
              <a:gradFill rotWithShape="0">
                <a:gsLst>
                  <a:gs pos="0">
                    <a:srgbClr val="FFB885"/>
                  </a:gs>
                  <a:gs pos="100000">
                    <a:srgbClr val="F28225"/>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278F-F14B-8542-9BE7C27C1C06}"/>
              </c:ext>
            </c:extLst>
          </c:dPt>
          <c:dPt>
            <c:idx val="6"/>
            <c:invertIfNegative val="0"/>
            <c:bubble3D val="0"/>
            <c:spPr>
              <a:gradFill rotWithShape="0">
                <a:gsLst>
                  <a:gs pos="0">
                    <a:srgbClr val="B6D1FF"/>
                  </a:gs>
                  <a:gs pos="100000">
                    <a:srgbClr val="8AA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6-278F-F14B-8542-9BE7C27C1C06}"/>
              </c:ext>
            </c:extLst>
          </c:dPt>
          <c:dPt>
            <c:idx val="7"/>
            <c:invertIfNegative val="0"/>
            <c:bubble3D val="0"/>
            <c:spPr>
              <a:gradFill rotWithShape="0">
                <a:gsLst>
                  <a:gs pos="0">
                    <a:srgbClr val="FFB6B4"/>
                  </a:gs>
                  <a:gs pos="100000">
                    <a:srgbClr val="DA8A8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278F-F14B-8542-9BE7C27C1C06}"/>
              </c:ext>
            </c:extLst>
          </c:dPt>
          <c:dPt>
            <c:idx val="8"/>
            <c:invertIfNegative val="0"/>
            <c:bubble3D val="0"/>
            <c:spPr>
              <a:gradFill rotWithShape="0">
                <a:gsLst>
                  <a:gs pos="0">
                    <a:srgbClr val="E4FFBA"/>
                  </a:gs>
                  <a:gs pos="100000">
                    <a:srgbClr val="BBD68E"/>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278F-F14B-8542-9BE7C27C1C06}"/>
              </c:ext>
            </c:extLst>
          </c:dPt>
          <c:dPt>
            <c:idx val="9"/>
            <c:invertIfNegative val="0"/>
            <c:bubble3D val="0"/>
            <c:spPr>
              <a:gradFill rotWithShape="0">
                <a:gsLst>
                  <a:gs pos="0">
                    <a:srgbClr val="D6C5F1"/>
                  </a:gs>
                  <a:gs pos="100000">
                    <a:srgbClr val="A896C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278F-F14B-8542-9BE7C27C1C06}"/>
              </c:ext>
            </c:extLst>
          </c:dPt>
          <c:dPt>
            <c:idx val="10"/>
            <c:invertIfNegative val="0"/>
            <c:bubble3D val="0"/>
            <c:spPr>
              <a:gradFill rotWithShape="0">
                <a:gsLst>
                  <a:gs pos="0">
                    <a:srgbClr val="B2F1FF"/>
                  </a:gs>
                  <a:gs pos="100000">
                    <a:srgbClr val="87C8DF"/>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278F-F14B-8542-9BE7C27C1C06}"/>
              </c:ext>
            </c:extLst>
          </c:dPt>
          <c:cat>
            <c:strRef>
              <c:f>'Data Reduction Engine'!$B$864:$B$874</c:f>
              <c:strCache>
                <c:ptCount val="11"/>
                <c:pt idx="0">
                  <c:v>(206/205)m</c:v>
                </c:pt>
                <c:pt idx="1">
                  <c:v>(207/206)m</c:v>
                </c:pt>
                <c:pt idx="2">
                  <c:v>(204/206)m</c:v>
                </c:pt>
                <c:pt idx="3">
                  <c:v>FPb</c:v>
                </c:pt>
                <c:pt idx="4">
                  <c:v>206Pb blank</c:v>
                </c:pt>
                <c:pt idx="5">
                  <c:v>(206/204)b</c:v>
                </c:pt>
                <c:pt idx="6">
                  <c:v>(207/206)c</c:v>
                </c:pt>
                <c:pt idx="7">
                  <c:v>(206/204)c</c:v>
                </c:pt>
                <c:pt idx="8">
                  <c:v>(206/205)t</c:v>
                </c:pt>
                <c:pt idx="9">
                  <c:v>(207/206)t</c:v>
                </c:pt>
                <c:pt idx="10">
                  <c:v>(204/205)t</c:v>
                </c:pt>
              </c:strCache>
            </c:strRef>
          </c:cat>
          <c:val>
            <c:numRef>
              <c:f>'Data Reduction Engine'!$U$864:$U$874</c:f>
              <c:numCache>
                <c:formatCode>0.00%</c:formatCode>
                <c:ptCount val="11"/>
                <c:pt idx="0">
                  <c:v>3.4736082519187305E-5</c:v>
                </c:pt>
                <c:pt idx="1">
                  <c:v>0.29415605444658094</c:v>
                </c:pt>
                <c:pt idx="2">
                  <c:v>0.17253704268110728</c:v>
                </c:pt>
                <c:pt idx="3">
                  <c:v>3.2745127166626219E-3</c:v>
                </c:pt>
                <c:pt idx="4">
                  <c:v>1.481481131841785E-2</c:v>
                </c:pt>
                <c:pt idx="5">
                  <c:v>0.5109065729906499</c:v>
                </c:pt>
                <c:pt idx="6">
                  <c:v>2.3375598342257938E-3</c:v>
                </c:pt>
                <c:pt idx="7">
                  <c:v>1.2803348563549221E-4</c:v>
                </c:pt>
                <c:pt idx="8">
                  <c:v>9.9999999999999995E-7</c:v>
                </c:pt>
                <c:pt idx="9">
                  <c:v>4.6407354614873238E-12</c:v>
                </c:pt>
                <c:pt idx="10">
                  <c:v>1.8106764395599741E-3</c:v>
                </c:pt>
              </c:numCache>
            </c:numRef>
          </c:val>
          <c:extLst>
            <c:ext xmlns:c16="http://schemas.microsoft.com/office/drawing/2014/chart" uri="{C3380CC4-5D6E-409C-BE32-E72D297353CC}">
              <c16:uniqueId val="{0000000B-278F-F14B-8542-9BE7C27C1C06}"/>
            </c:ext>
          </c:extLst>
        </c:ser>
        <c:dLbls>
          <c:showLegendKey val="0"/>
          <c:showVal val="0"/>
          <c:showCatName val="0"/>
          <c:showSerName val="0"/>
          <c:showPercent val="0"/>
          <c:showBubbleSize val="0"/>
        </c:dLbls>
        <c:gapWidth val="0"/>
        <c:axId val="1242514832"/>
        <c:axId val="1"/>
      </c:barChart>
      <c:catAx>
        <c:axId val="1242514832"/>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2425148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8876896485500305"/>
          <c:y val="0.15778546712802805"/>
          <c:w val="0.76535740349529513"/>
          <c:h val="0.59972318339100306"/>
        </c:manualLayout>
      </c:layout>
      <c:barChart>
        <c:barDir val="col"/>
        <c:grouping val="clustered"/>
        <c:varyColors val="1"/>
        <c:ser>
          <c:idx val="0"/>
          <c:order val="0"/>
          <c:tx>
            <c:strRef>
              <c:f>'Data Reduction Engine'!$V$5</c:f>
              <c:strCache>
                <c:ptCount val="1"/>
                <c:pt idx="0">
                  <c:v>z11a</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5BFF0"/>
                  </a:gs>
                  <a:gs pos="100000">
                    <a:srgbClr val="3268A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DCD9-8041-BC3D-29F3D099DC07}"/>
              </c:ext>
            </c:extLst>
          </c:dPt>
          <c:dPt>
            <c:idx val="1"/>
            <c:invertIfNegative val="0"/>
            <c:bubble3D val="0"/>
            <c:spPr>
              <a:gradFill rotWithShape="0">
                <a:gsLst>
                  <a:gs pos="0">
                    <a:srgbClr val="F2A5A4"/>
                  </a:gs>
                  <a:gs pos="100000">
                    <a:srgbClr val="AD333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DCD9-8041-BC3D-29F3D099DC07}"/>
              </c:ext>
            </c:extLst>
          </c:dPt>
          <c:dPt>
            <c:idx val="2"/>
            <c:invertIfNegative val="0"/>
            <c:bubble3D val="0"/>
            <c:spPr>
              <a:gradFill rotWithShape="0">
                <a:gsLst>
                  <a:gs pos="0">
                    <a:srgbClr val="D1EDA8"/>
                  </a:gs>
                  <a:gs pos="100000">
                    <a:srgbClr val="83A6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DCD9-8041-BC3D-29F3D099DC07}"/>
              </c:ext>
            </c:extLst>
          </c:dPt>
          <c:dPt>
            <c:idx val="3"/>
            <c:invertIfNegative val="0"/>
            <c:bubble3D val="0"/>
            <c:spPr>
              <a:gradFill rotWithShape="0">
                <a:gsLst>
                  <a:gs pos="0">
                    <a:srgbClr val="C4B4DD"/>
                  </a:gs>
                  <a:gs pos="100000">
                    <a:srgbClr val="68498D"/>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DCD9-8041-BC3D-29F3D099DC07}"/>
              </c:ext>
            </c:extLst>
          </c:dPt>
          <c:dPt>
            <c:idx val="4"/>
            <c:invertIfNegative val="0"/>
            <c:bubble3D val="0"/>
            <c:spPr>
              <a:gradFill rotWithShape="0">
                <a:gsLst>
                  <a:gs pos="0">
                    <a:srgbClr val="A1DDF6"/>
                  </a:gs>
                  <a:gs pos="100000">
                    <a:srgbClr val="2D96B3"/>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DCD9-8041-BC3D-29F3D099DC07}"/>
              </c:ext>
            </c:extLst>
          </c:dPt>
          <c:dPt>
            <c:idx val="5"/>
            <c:invertIfNegative val="0"/>
            <c:bubble3D val="0"/>
            <c:spPr>
              <a:gradFill rotWithShape="0">
                <a:gsLst>
                  <a:gs pos="0">
                    <a:srgbClr val="FFB88C"/>
                  </a:gs>
                  <a:gs pos="100000">
                    <a:srgbClr val="E2792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DCD9-8041-BC3D-29F3D099DC07}"/>
              </c:ext>
            </c:extLst>
          </c:dPt>
          <c:dPt>
            <c:idx val="6"/>
            <c:invertIfNegative val="0"/>
            <c:bubble3D val="0"/>
            <c:extLst>
              <c:ext xmlns:c16="http://schemas.microsoft.com/office/drawing/2014/chart" uri="{C3380CC4-5D6E-409C-BE32-E72D297353CC}">
                <c16:uniqueId val="{00000006-DCD9-8041-BC3D-29F3D099DC07}"/>
              </c:ext>
            </c:extLst>
          </c:dPt>
          <c:dPt>
            <c:idx val="7"/>
            <c:invertIfNegative val="0"/>
            <c:bubble3D val="0"/>
            <c:spPr>
              <a:gradFill rotWithShape="0">
                <a:gsLst>
                  <a:gs pos="0">
                    <a:srgbClr val="FF9A99"/>
                  </a:gs>
                  <a:gs pos="100000">
                    <a:srgbClr val="D140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DCD9-8041-BC3D-29F3D099DC07}"/>
              </c:ext>
            </c:extLst>
          </c:dPt>
          <c:dPt>
            <c:idx val="8"/>
            <c:invertIfNegative val="0"/>
            <c:bubble3D val="0"/>
            <c:spPr>
              <a:gradFill rotWithShape="0">
                <a:gsLst>
                  <a:gs pos="0">
                    <a:srgbClr val="DCFFA0"/>
                  </a:gs>
                  <a:gs pos="100000">
                    <a:srgbClr val="A0CA4A"/>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DCD9-8041-BC3D-29F3D099DC07}"/>
              </c:ext>
            </c:extLst>
          </c:dPt>
          <c:dPt>
            <c:idx val="9"/>
            <c:invertIfNegative val="0"/>
            <c:bubble3D val="0"/>
            <c:spPr>
              <a:gradFill rotWithShape="0">
                <a:gsLst>
                  <a:gs pos="0">
                    <a:srgbClr val="C8B0ED"/>
                  </a:gs>
                  <a:gs pos="100000">
                    <a:srgbClr val="7F5BA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DCD9-8041-BC3D-29F3D099DC07}"/>
              </c:ext>
            </c:extLst>
          </c:dPt>
          <c:dPt>
            <c:idx val="10"/>
            <c:invertIfNegative val="0"/>
            <c:bubble3D val="0"/>
            <c:spPr>
              <a:gradFill rotWithShape="0">
                <a:gsLst>
                  <a:gs pos="0">
                    <a:srgbClr val="95EEFF"/>
                  </a:gs>
                  <a:gs pos="100000">
                    <a:srgbClr val="39B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DCD9-8041-BC3D-29F3D099DC07}"/>
              </c:ext>
            </c:extLst>
          </c:dPt>
          <c:dPt>
            <c:idx val="11"/>
            <c:invertIfNegative val="0"/>
            <c:bubble3D val="0"/>
            <c:spPr>
              <a:gradFill rotWithShape="0">
                <a:gsLst>
                  <a:gs pos="0">
                    <a:srgbClr val="FFB977"/>
                  </a:gs>
                  <a:gs pos="100000">
                    <a:srgbClr val="FF932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B-DCD9-8041-BC3D-29F3D099DC07}"/>
              </c:ext>
            </c:extLst>
          </c:dPt>
          <c:cat>
            <c:strRef>
              <c:f>'Data Reduction Engine'!$B$838:$B$849</c:f>
              <c:strCache>
                <c:ptCount val="12"/>
                <c:pt idx="0">
                  <c:v>(206/205)m</c:v>
                </c:pt>
                <c:pt idx="1">
                  <c:v>(204/206)m</c:v>
                </c:pt>
                <c:pt idx="2">
                  <c:v>FPb</c:v>
                </c:pt>
                <c:pt idx="3">
                  <c:v>206Pb blank</c:v>
                </c:pt>
                <c:pt idx="4">
                  <c:v>(206/204)b</c:v>
                </c:pt>
                <c:pt idx="5">
                  <c:v>(206/204)c</c:v>
                </c:pt>
                <c:pt idx="6">
                  <c:v>(238/235)m</c:v>
                </c:pt>
                <c:pt idx="7">
                  <c:v>FU</c:v>
                </c:pt>
                <c:pt idx="8">
                  <c:v>238U blank</c:v>
                </c:pt>
                <c:pt idx="9">
                  <c:v>(Th/U)zircon</c:v>
                </c:pt>
                <c:pt idx="10">
                  <c:v>(Th/U)magma</c:v>
                </c:pt>
                <c:pt idx="11">
                  <c:v>(Th/U)initial</c:v>
                </c:pt>
              </c:strCache>
            </c:strRef>
          </c:cat>
          <c:val>
            <c:numRef>
              <c:f>'Data Reduction Engine'!$V$838:$V$849</c:f>
              <c:numCache>
                <c:formatCode>0.00%</c:formatCode>
                <c:ptCount val="12"/>
                <c:pt idx="0">
                  <c:v>3.4608734459612774E-2</c:v>
                </c:pt>
                <c:pt idx="1">
                  <c:v>0.12575195354442378</c:v>
                </c:pt>
                <c:pt idx="2">
                  <c:v>5.6045453738836635E-3</c:v>
                </c:pt>
                <c:pt idx="3">
                  <c:v>0.47258895709871152</c:v>
                </c:pt>
                <c:pt idx="4">
                  <c:v>0.34475829002113878</c:v>
                </c:pt>
                <c:pt idx="5">
                  <c:v>9.9999999999999995E-7</c:v>
                </c:pt>
                <c:pt idx="6">
                  <c:v>2.9026371950154851E-3</c:v>
                </c:pt>
                <c:pt idx="7">
                  <c:v>1.6606391199304657E-3</c:v>
                </c:pt>
                <c:pt idx="8">
                  <c:v>6.2342702005990626E-3</c:v>
                </c:pt>
                <c:pt idx="9">
                  <c:v>1.0747336133179503E-4</c:v>
                </c:pt>
                <c:pt idx="10">
                  <c:v>5.3050455278463946E-3</c:v>
                </c:pt>
                <c:pt idx="11">
                  <c:v>4.7745409750617554E-4</c:v>
                </c:pt>
              </c:numCache>
            </c:numRef>
          </c:val>
          <c:extLst>
            <c:ext xmlns:c16="http://schemas.microsoft.com/office/drawing/2014/chart" uri="{C3380CC4-5D6E-409C-BE32-E72D297353CC}">
              <c16:uniqueId val="{0000000C-DCD9-8041-BC3D-29F3D099DC07}"/>
            </c:ext>
          </c:extLst>
        </c:ser>
        <c:dLbls>
          <c:showLegendKey val="0"/>
          <c:showVal val="0"/>
          <c:showCatName val="0"/>
          <c:showSerName val="0"/>
          <c:showPercent val="0"/>
          <c:showBubbleSize val="0"/>
        </c:dLbls>
        <c:gapWidth val="0"/>
        <c:axId val="1242531760"/>
        <c:axId val="1"/>
      </c:barChart>
      <c:catAx>
        <c:axId val="1242531760"/>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2425317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5225657768388698"/>
          <c:y val="0.15833333333333305"/>
          <c:w val="0.68669982715575228"/>
          <c:h val="0.64123496281714798"/>
        </c:manualLayout>
      </c:layout>
      <c:barChart>
        <c:barDir val="col"/>
        <c:grouping val="clustered"/>
        <c:varyColors val="1"/>
        <c:ser>
          <c:idx val="0"/>
          <c:order val="0"/>
          <c:tx>
            <c:strRef>
              <c:f>'Data Reduction Engine'!$D$5</c:f>
              <c:strCache>
                <c:ptCount val="1"/>
                <c:pt idx="0">
                  <c:v>15WZ1-2 t2</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2BFF8"/>
                  </a:gs>
                  <a:gs pos="100000">
                    <a:srgbClr val="3670B6"/>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569C-1F40-86A5-39B3D1644AA7}"/>
              </c:ext>
            </c:extLst>
          </c:dPt>
          <c:dPt>
            <c:idx val="1"/>
            <c:invertIfNegative val="0"/>
            <c:bubble3D val="0"/>
            <c:spPr>
              <a:gradFill rotWithShape="0">
                <a:gsLst>
                  <a:gs pos="0">
                    <a:srgbClr val="FAA1A0"/>
                  </a:gs>
                  <a:gs pos="100000">
                    <a:srgbClr val="B93734"/>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569C-1F40-86A5-39B3D1644AA7}"/>
              </c:ext>
            </c:extLst>
          </c:dPt>
          <c:dPt>
            <c:idx val="2"/>
            <c:invertIfNegative val="0"/>
            <c:bubble3D val="0"/>
            <c:spPr>
              <a:gradFill rotWithShape="0">
                <a:gsLst>
                  <a:gs pos="0">
                    <a:srgbClr val="D4F4A6"/>
                  </a:gs>
                  <a:gs pos="100000">
                    <a:srgbClr val="8DB241"/>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569C-1F40-86A5-39B3D1644AA7}"/>
              </c:ext>
            </c:extLst>
          </c:dPt>
          <c:dPt>
            <c:idx val="3"/>
            <c:invertIfNegative val="0"/>
            <c:bubble3D val="0"/>
            <c:spPr>
              <a:gradFill rotWithShape="0">
                <a:gsLst>
                  <a:gs pos="0">
                    <a:srgbClr val="C5B3E2"/>
                  </a:gs>
                  <a:gs pos="100000">
                    <a:srgbClr val="704F97"/>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569C-1F40-86A5-39B3D1644AA7}"/>
              </c:ext>
            </c:extLst>
          </c:dPt>
          <c:dPt>
            <c:idx val="4"/>
            <c:invertIfNegative val="0"/>
            <c:bubble3D val="0"/>
            <c:spPr>
              <a:gradFill rotWithShape="0">
                <a:gsLst>
                  <a:gs pos="0">
                    <a:srgbClr val="9DE2FF"/>
                  </a:gs>
                  <a:gs pos="100000">
                    <a:srgbClr val="31A1C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569C-1F40-86A5-39B3D1644AA7}"/>
              </c:ext>
            </c:extLst>
          </c:dPt>
          <c:dPt>
            <c:idx val="5"/>
            <c:invertIfNegative val="0"/>
            <c:bubble3D val="0"/>
            <c:spPr>
              <a:gradFill rotWithShape="0">
                <a:gsLst>
                  <a:gs pos="0">
                    <a:srgbClr val="FFB885"/>
                  </a:gs>
                  <a:gs pos="100000">
                    <a:srgbClr val="F28225"/>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569C-1F40-86A5-39B3D1644AA7}"/>
              </c:ext>
            </c:extLst>
          </c:dPt>
          <c:dPt>
            <c:idx val="6"/>
            <c:invertIfNegative val="0"/>
            <c:bubble3D val="0"/>
            <c:spPr>
              <a:gradFill rotWithShape="0">
                <a:gsLst>
                  <a:gs pos="0">
                    <a:srgbClr val="B6D1FF"/>
                  </a:gs>
                  <a:gs pos="100000">
                    <a:srgbClr val="8AA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6-569C-1F40-86A5-39B3D1644AA7}"/>
              </c:ext>
            </c:extLst>
          </c:dPt>
          <c:dPt>
            <c:idx val="7"/>
            <c:invertIfNegative val="0"/>
            <c:bubble3D val="0"/>
            <c:spPr>
              <a:gradFill rotWithShape="0">
                <a:gsLst>
                  <a:gs pos="0">
                    <a:srgbClr val="FFB6B4"/>
                  </a:gs>
                  <a:gs pos="100000">
                    <a:srgbClr val="DA8A8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569C-1F40-86A5-39B3D1644AA7}"/>
              </c:ext>
            </c:extLst>
          </c:dPt>
          <c:dPt>
            <c:idx val="8"/>
            <c:invertIfNegative val="0"/>
            <c:bubble3D val="0"/>
            <c:spPr>
              <a:gradFill rotWithShape="0">
                <a:gsLst>
                  <a:gs pos="0">
                    <a:srgbClr val="E4FFBA"/>
                  </a:gs>
                  <a:gs pos="100000">
                    <a:srgbClr val="BBD68E"/>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569C-1F40-86A5-39B3D1644AA7}"/>
              </c:ext>
            </c:extLst>
          </c:dPt>
          <c:dPt>
            <c:idx val="9"/>
            <c:invertIfNegative val="0"/>
            <c:bubble3D val="0"/>
            <c:spPr>
              <a:gradFill rotWithShape="0">
                <a:gsLst>
                  <a:gs pos="0">
                    <a:srgbClr val="D6C5F1"/>
                  </a:gs>
                  <a:gs pos="100000">
                    <a:srgbClr val="A896C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569C-1F40-86A5-39B3D1644AA7}"/>
              </c:ext>
            </c:extLst>
          </c:dPt>
          <c:dPt>
            <c:idx val="10"/>
            <c:invertIfNegative val="0"/>
            <c:bubble3D val="0"/>
            <c:spPr>
              <a:gradFill rotWithShape="0">
                <a:gsLst>
                  <a:gs pos="0">
                    <a:srgbClr val="B2F1FF"/>
                  </a:gs>
                  <a:gs pos="100000">
                    <a:srgbClr val="87C8DF"/>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569C-1F40-86A5-39B3D1644AA7}"/>
              </c:ext>
            </c:extLst>
          </c:dPt>
          <c:cat>
            <c:strRef>
              <c:f>'Data Reduction Engine'!$B$864:$B$874</c:f>
              <c:strCache>
                <c:ptCount val="11"/>
                <c:pt idx="0">
                  <c:v>(206/205)m</c:v>
                </c:pt>
                <c:pt idx="1">
                  <c:v>(207/206)m</c:v>
                </c:pt>
                <c:pt idx="2">
                  <c:v>(204/206)m</c:v>
                </c:pt>
                <c:pt idx="3">
                  <c:v>FPb</c:v>
                </c:pt>
                <c:pt idx="4">
                  <c:v>206Pb blank</c:v>
                </c:pt>
                <c:pt idx="5">
                  <c:v>(206/204)b</c:v>
                </c:pt>
                <c:pt idx="6">
                  <c:v>(207/206)c</c:v>
                </c:pt>
                <c:pt idx="7">
                  <c:v>(206/204)c</c:v>
                </c:pt>
                <c:pt idx="8">
                  <c:v>(206/205)t</c:v>
                </c:pt>
                <c:pt idx="9">
                  <c:v>(207/206)t</c:v>
                </c:pt>
                <c:pt idx="10">
                  <c:v>(204/205)t</c:v>
                </c:pt>
              </c:strCache>
            </c:strRef>
          </c:cat>
          <c:val>
            <c:numRef>
              <c:f>'Data Reduction Engine'!$D$864:$D$874</c:f>
              <c:numCache>
                <c:formatCode>0.00%</c:formatCode>
                <c:ptCount val="11"/>
                <c:pt idx="0">
                  <c:v>6.530615975147997E-7</c:v>
                </c:pt>
                <c:pt idx="1">
                  <c:v>0.92115219101926582</c:v>
                </c:pt>
                <c:pt idx="2">
                  <c:v>5.063919523185733E-2</c:v>
                </c:pt>
                <c:pt idx="3">
                  <c:v>8.4708542325305312E-3</c:v>
                </c:pt>
                <c:pt idx="4">
                  <c:v>2.0038038510257928E-4</c:v>
                </c:pt>
                <c:pt idx="5">
                  <c:v>4.7645339725688862E-3</c:v>
                </c:pt>
                <c:pt idx="6">
                  <c:v>1.4580533755891226E-2</c:v>
                </c:pt>
                <c:pt idx="7">
                  <c:v>1.1754701703212528E-4</c:v>
                </c:pt>
                <c:pt idx="8">
                  <c:v>2.9279307574244927E-6</c:v>
                </c:pt>
                <c:pt idx="9">
                  <c:v>5.5769579564231093E-12</c:v>
                </c:pt>
                <c:pt idx="10">
                  <c:v>7.1183387819558856E-5</c:v>
                </c:pt>
              </c:numCache>
            </c:numRef>
          </c:val>
          <c:extLst>
            <c:ext xmlns:c16="http://schemas.microsoft.com/office/drawing/2014/chart" uri="{C3380CC4-5D6E-409C-BE32-E72D297353CC}">
              <c16:uniqueId val="{0000000B-569C-1F40-86A5-39B3D1644AA7}"/>
            </c:ext>
          </c:extLst>
        </c:ser>
        <c:dLbls>
          <c:showLegendKey val="0"/>
          <c:showVal val="0"/>
          <c:showCatName val="0"/>
          <c:showSerName val="0"/>
          <c:showPercent val="0"/>
          <c:showBubbleSize val="0"/>
        </c:dLbls>
        <c:gapWidth val="0"/>
        <c:axId val="1052659632"/>
        <c:axId val="1"/>
      </c:barChart>
      <c:catAx>
        <c:axId val="1052659632"/>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526596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5225657768388698"/>
          <c:y val="0.15833333333333305"/>
          <c:w val="0.68669982715575228"/>
          <c:h val="0.64123496281714798"/>
        </c:manualLayout>
      </c:layout>
      <c:barChart>
        <c:barDir val="col"/>
        <c:grouping val="clustered"/>
        <c:varyColors val="1"/>
        <c:ser>
          <c:idx val="0"/>
          <c:order val="0"/>
          <c:tx>
            <c:strRef>
              <c:f>'Data Reduction Engine'!$V$5</c:f>
              <c:strCache>
                <c:ptCount val="1"/>
                <c:pt idx="0">
                  <c:v>z11a</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2BFF8"/>
                  </a:gs>
                  <a:gs pos="100000">
                    <a:srgbClr val="3670B6"/>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ADA2-5946-A4C8-9BD6263835E5}"/>
              </c:ext>
            </c:extLst>
          </c:dPt>
          <c:dPt>
            <c:idx val="1"/>
            <c:invertIfNegative val="0"/>
            <c:bubble3D val="0"/>
            <c:spPr>
              <a:gradFill rotWithShape="0">
                <a:gsLst>
                  <a:gs pos="0">
                    <a:srgbClr val="FAA1A0"/>
                  </a:gs>
                  <a:gs pos="100000">
                    <a:srgbClr val="B93734"/>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ADA2-5946-A4C8-9BD6263835E5}"/>
              </c:ext>
            </c:extLst>
          </c:dPt>
          <c:dPt>
            <c:idx val="2"/>
            <c:invertIfNegative val="0"/>
            <c:bubble3D val="0"/>
            <c:spPr>
              <a:gradFill rotWithShape="0">
                <a:gsLst>
                  <a:gs pos="0">
                    <a:srgbClr val="D4F4A6"/>
                  </a:gs>
                  <a:gs pos="100000">
                    <a:srgbClr val="8DB241"/>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ADA2-5946-A4C8-9BD6263835E5}"/>
              </c:ext>
            </c:extLst>
          </c:dPt>
          <c:dPt>
            <c:idx val="3"/>
            <c:invertIfNegative val="0"/>
            <c:bubble3D val="0"/>
            <c:spPr>
              <a:gradFill rotWithShape="0">
                <a:gsLst>
                  <a:gs pos="0">
                    <a:srgbClr val="C5B3E2"/>
                  </a:gs>
                  <a:gs pos="100000">
                    <a:srgbClr val="704F97"/>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ADA2-5946-A4C8-9BD6263835E5}"/>
              </c:ext>
            </c:extLst>
          </c:dPt>
          <c:dPt>
            <c:idx val="4"/>
            <c:invertIfNegative val="0"/>
            <c:bubble3D val="0"/>
            <c:spPr>
              <a:gradFill rotWithShape="0">
                <a:gsLst>
                  <a:gs pos="0">
                    <a:srgbClr val="9DE2FF"/>
                  </a:gs>
                  <a:gs pos="100000">
                    <a:srgbClr val="31A1C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ADA2-5946-A4C8-9BD6263835E5}"/>
              </c:ext>
            </c:extLst>
          </c:dPt>
          <c:dPt>
            <c:idx val="5"/>
            <c:invertIfNegative val="0"/>
            <c:bubble3D val="0"/>
            <c:spPr>
              <a:gradFill rotWithShape="0">
                <a:gsLst>
                  <a:gs pos="0">
                    <a:srgbClr val="FFB885"/>
                  </a:gs>
                  <a:gs pos="100000">
                    <a:srgbClr val="F28225"/>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ADA2-5946-A4C8-9BD6263835E5}"/>
              </c:ext>
            </c:extLst>
          </c:dPt>
          <c:dPt>
            <c:idx val="6"/>
            <c:invertIfNegative val="0"/>
            <c:bubble3D val="0"/>
            <c:spPr>
              <a:gradFill rotWithShape="0">
                <a:gsLst>
                  <a:gs pos="0">
                    <a:srgbClr val="B6D1FF"/>
                  </a:gs>
                  <a:gs pos="100000">
                    <a:srgbClr val="8AA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6-ADA2-5946-A4C8-9BD6263835E5}"/>
              </c:ext>
            </c:extLst>
          </c:dPt>
          <c:dPt>
            <c:idx val="7"/>
            <c:invertIfNegative val="0"/>
            <c:bubble3D val="0"/>
            <c:spPr>
              <a:gradFill rotWithShape="0">
                <a:gsLst>
                  <a:gs pos="0">
                    <a:srgbClr val="FFB6B4"/>
                  </a:gs>
                  <a:gs pos="100000">
                    <a:srgbClr val="DA8A8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ADA2-5946-A4C8-9BD6263835E5}"/>
              </c:ext>
            </c:extLst>
          </c:dPt>
          <c:dPt>
            <c:idx val="8"/>
            <c:invertIfNegative val="0"/>
            <c:bubble3D val="0"/>
            <c:spPr>
              <a:gradFill rotWithShape="0">
                <a:gsLst>
                  <a:gs pos="0">
                    <a:srgbClr val="E4FFBA"/>
                  </a:gs>
                  <a:gs pos="100000">
                    <a:srgbClr val="BBD68E"/>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ADA2-5946-A4C8-9BD6263835E5}"/>
              </c:ext>
            </c:extLst>
          </c:dPt>
          <c:dPt>
            <c:idx val="9"/>
            <c:invertIfNegative val="0"/>
            <c:bubble3D val="0"/>
            <c:spPr>
              <a:gradFill rotWithShape="0">
                <a:gsLst>
                  <a:gs pos="0">
                    <a:srgbClr val="D6C5F1"/>
                  </a:gs>
                  <a:gs pos="100000">
                    <a:srgbClr val="A896C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ADA2-5946-A4C8-9BD6263835E5}"/>
              </c:ext>
            </c:extLst>
          </c:dPt>
          <c:dPt>
            <c:idx val="10"/>
            <c:invertIfNegative val="0"/>
            <c:bubble3D val="0"/>
            <c:spPr>
              <a:gradFill rotWithShape="0">
                <a:gsLst>
                  <a:gs pos="0">
                    <a:srgbClr val="B2F1FF"/>
                  </a:gs>
                  <a:gs pos="100000">
                    <a:srgbClr val="87C8DF"/>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ADA2-5946-A4C8-9BD6263835E5}"/>
              </c:ext>
            </c:extLst>
          </c:dPt>
          <c:cat>
            <c:strRef>
              <c:f>'Data Reduction Engine'!$B$864:$B$874</c:f>
              <c:strCache>
                <c:ptCount val="11"/>
                <c:pt idx="0">
                  <c:v>(206/205)m</c:v>
                </c:pt>
                <c:pt idx="1">
                  <c:v>(207/206)m</c:v>
                </c:pt>
                <c:pt idx="2">
                  <c:v>(204/206)m</c:v>
                </c:pt>
                <c:pt idx="3">
                  <c:v>FPb</c:v>
                </c:pt>
                <c:pt idx="4">
                  <c:v>206Pb blank</c:v>
                </c:pt>
                <c:pt idx="5">
                  <c:v>(206/204)b</c:v>
                </c:pt>
                <c:pt idx="6">
                  <c:v>(207/206)c</c:v>
                </c:pt>
                <c:pt idx="7">
                  <c:v>(206/204)c</c:v>
                </c:pt>
                <c:pt idx="8">
                  <c:v>(206/205)t</c:v>
                </c:pt>
                <c:pt idx="9">
                  <c:v>(207/206)t</c:v>
                </c:pt>
                <c:pt idx="10">
                  <c:v>(204/205)t</c:v>
                </c:pt>
              </c:strCache>
            </c:strRef>
          </c:cat>
          <c:val>
            <c:numRef>
              <c:f>'Data Reduction Engine'!$V$864:$V$874</c:f>
              <c:numCache>
                <c:formatCode>0.00%</c:formatCode>
                <c:ptCount val="11"/>
                <c:pt idx="0">
                  <c:v>1.0588258806690106E-4</c:v>
                </c:pt>
                <c:pt idx="1">
                  <c:v>0.53944893445488296</c:v>
                </c:pt>
                <c:pt idx="2">
                  <c:v>0.1193444739782971</c:v>
                </c:pt>
                <c:pt idx="3">
                  <c:v>1.6709173912802793E-3</c:v>
                </c:pt>
                <c:pt idx="4">
                  <c:v>9.774085159636979E-3</c:v>
                </c:pt>
                <c:pt idx="5">
                  <c:v>0.32719171044682721</c:v>
                </c:pt>
                <c:pt idx="6">
                  <c:v>9.9999999999999995E-7</c:v>
                </c:pt>
                <c:pt idx="7">
                  <c:v>1.0371781375916785E-37</c:v>
                </c:pt>
                <c:pt idx="8">
                  <c:v>9.9999999999999995E-7</c:v>
                </c:pt>
                <c:pt idx="9">
                  <c:v>6.2830119441522889E-12</c:v>
                </c:pt>
                <c:pt idx="10">
                  <c:v>2.4639959747256709E-3</c:v>
                </c:pt>
              </c:numCache>
            </c:numRef>
          </c:val>
          <c:extLst>
            <c:ext xmlns:c16="http://schemas.microsoft.com/office/drawing/2014/chart" uri="{C3380CC4-5D6E-409C-BE32-E72D297353CC}">
              <c16:uniqueId val="{0000000B-ADA2-5946-A4C8-9BD6263835E5}"/>
            </c:ext>
          </c:extLst>
        </c:ser>
        <c:dLbls>
          <c:showLegendKey val="0"/>
          <c:showVal val="0"/>
          <c:showCatName val="0"/>
          <c:showSerName val="0"/>
          <c:showPercent val="0"/>
          <c:showBubbleSize val="0"/>
        </c:dLbls>
        <c:gapWidth val="0"/>
        <c:axId val="1242547440"/>
        <c:axId val="1"/>
      </c:barChart>
      <c:catAx>
        <c:axId val="1242547440"/>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24254744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8876896485500305"/>
          <c:y val="0.15778546712802805"/>
          <c:w val="0.76535740349529513"/>
          <c:h val="0.59972318339100306"/>
        </c:manualLayout>
      </c:layout>
      <c:barChart>
        <c:barDir val="col"/>
        <c:grouping val="clustered"/>
        <c:varyColors val="1"/>
        <c:ser>
          <c:idx val="0"/>
          <c:order val="0"/>
          <c:tx>
            <c:strRef>
              <c:f>'Data Reduction Engine'!$W$5</c:f>
              <c:strCache>
                <c:ptCount val="1"/>
                <c:pt idx="0">
                  <c:v>z11b</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5BFF0"/>
                  </a:gs>
                  <a:gs pos="100000">
                    <a:srgbClr val="3268A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2A20-6040-B56D-4BFA855A05E9}"/>
              </c:ext>
            </c:extLst>
          </c:dPt>
          <c:dPt>
            <c:idx val="1"/>
            <c:invertIfNegative val="0"/>
            <c:bubble3D val="0"/>
            <c:spPr>
              <a:gradFill rotWithShape="0">
                <a:gsLst>
                  <a:gs pos="0">
                    <a:srgbClr val="F2A5A4"/>
                  </a:gs>
                  <a:gs pos="100000">
                    <a:srgbClr val="AD333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2A20-6040-B56D-4BFA855A05E9}"/>
              </c:ext>
            </c:extLst>
          </c:dPt>
          <c:dPt>
            <c:idx val="2"/>
            <c:invertIfNegative val="0"/>
            <c:bubble3D val="0"/>
            <c:spPr>
              <a:gradFill rotWithShape="0">
                <a:gsLst>
                  <a:gs pos="0">
                    <a:srgbClr val="D1EDA8"/>
                  </a:gs>
                  <a:gs pos="100000">
                    <a:srgbClr val="83A6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2A20-6040-B56D-4BFA855A05E9}"/>
              </c:ext>
            </c:extLst>
          </c:dPt>
          <c:dPt>
            <c:idx val="3"/>
            <c:invertIfNegative val="0"/>
            <c:bubble3D val="0"/>
            <c:spPr>
              <a:gradFill rotWithShape="0">
                <a:gsLst>
                  <a:gs pos="0">
                    <a:srgbClr val="C4B4DD"/>
                  </a:gs>
                  <a:gs pos="100000">
                    <a:srgbClr val="68498D"/>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2A20-6040-B56D-4BFA855A05E9}"/>
              </c:ext>
            </c:extLst>
          </c:dPt>
          <c:dPt>
            <c:idx val="4"/>
            <c:invertIfNegative val="0"/>
            <c:bubble3D val="0"/>
            <c:spPr>
              <a:gradFill rotWithShape="0">
                <a:gsLst>
                  <a:gs pos="0">
                    <a:srgbClr val="A1DDF6"/>
                  </a:gs>
                  <a:gs pos="100000">
                    <a:srgbClr val="2D96B3"/>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2A20-6040-B56D-4BFA855A05E9}"/>
              </c:ext>
            </c:extLst>
          </c:dPt>
          <c:dPt>
            <c:idx val="5"/>
            <c:invertIfNegative val="0"/>
            <c:bubble3D val="0"/>
            <c:spPr>
              <a:gradFill rotWithShape="0">
                <a:gsLst>
                  <a:gs pos="0">
                    <a:srgbClr val="FFB88C"/>
                  </a:gs>
                  <a:gs pos="100000">
                    <a:srgbClr val="E2792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2A20-6040-B56D-4BFA855A05E9}"/>
              </c:ext>
            </c:extLst>
          </c:dPt>
          <c:dPt>
            <c:idx val="6"/>
            <c:invertIfNegative val="0"/>
            <c:bubble3D val="0"/>
            <c:extLst>
              <c:ext xmlns:c16="http://schemas.microsoft.com/office/drawing/2014/chart" uri="{C3380CC4-5D6E-409C-BE32-E72D297353CC}">
                <c16:uniqueId val="{00000006-2A20-6040-B56D-4BFA855A05E9}"/>
              </c:ext>
            </c:extLst>
          </c:dPt>
          <c:dPt>
            <c:idx val="7"/>
            <c:invertIfNegative val="0"/>
            <c:bubble3D val="0"/>
            <c:spPr>
              <a:gradFill rotWithShape="0">
                <a:gsLst>
                  <a:gs pos="0">
                    <a:srgbClr val="FF9A99"/>
                  </a:gs>
                  <a:gs pos="100000">
                    <a:srgbClr val="D140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2A20-6040-B56D-4BFA855A05E9}"/>
              </c:ext>
            </c:extLst>
          </c:dPt>
          <c:dPt>
            <c:idx val="8"/>
            <c:invertIfNegative val="0"/>
            <c:bubble3D val="0"/>
            <c:spPr>
              <a:gradFill rotWithShape="0">
                <a:gsLst>
                  <a:gs pos="0">
                    <a:srgbClr val="DCFFA0"/>
                  </a:gs>
                  <a:gs pos="100000">
                    <a:srgbClr val="A0CA4A"/>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2A20-6040-B56D-4BFA855A05E9}"/>
              </c:ext>
            </c:extLst>
          </c:dPt>
          <c:dPt>
            <c:idx val="9"/>
            <c:invertIfNegative val="0"/>
            <c:bubble3D val="0"/>
            <c:spPr>
              <a:gradFill rotWithShape="0">
                <a:gsLst>
                  <a:gs pos="0">
                    <a:srgbClr val="C8B0ED"/>
                  </a:gs>
                  <a:gs pos="100000">
                    <a:srgbClr val="7F5BA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2A20-6040-B56D-4BFA855A05E9}"/>
              </c:ext>
            </c:extLst>
          </c:dPt>
          <c:dPt>
            <c:idx val="10"/>
            <c:invertIfNegative val="0"/>
            <c:bubble3D val="0"/>
            <c:spPr>
              <a:gradFill rotWithShape="0">
                <a:gsLst>
                  <a:gs pos="0">
                    <a:srgbClr val="95EEFF"/>
                  </a:gs>
                  <a:gs pos="100000">
                    <a:srgbClr val="39B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2A20-6040-B56D-4BFA855A05E9}"/>
              </c:ext>
            </c:extLst>
          </c:dPt>
          <c:dPt>
            <c:idx val="11"/>
            <c:invertIfNegative val="0"/>
            <c:bubble3D val="0"/>
            <c:spPr>
              <a:gradFill rotWithShape="0">
                <a:gsLst>
                  <a:gs pos="0">
                    <a:srgbClr val="FFB977"/>
                  </a:gs>
                  <a:gs pos="100000">
                    <a:srgbClr val="FF932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B-2A20-6040-B56D-4BFA855A05E9}"/>
              </c:ext>
            </c:extLst>
          </c:dPt>
          <c:cat>
            <c:strRef>
              <c:f>'Data Reduction Engine'!$B$838:$B$849</c:f>
              <c:strCache>
                <c:ptCount val="12"/>
                <c:pt idx="0">
                  <c:v>(206/205)m</c:v>
                </c:pt>
                <c:pt idx="1">
                  <c:v>(204/206)m</c:v>
                </c:pt>
                <c:pt idx="2">
                  <c:v>FPb</c:v>
                </c:pt>
                <c:pt idx="3">
                  <c:v>206Pb blank</c:v>
                </c:pt>
                <c:pt idx="4">
                  <c:v>(206/204)b</c:v>
                </c:pt>
                <c:pt idx="5">
                  <c:v>(206/204)c</c:v>
                </c:pt>
                <c:pt idx="6">
                  <c:v>(238/235)m</c:v>
                </c:pt>
                <c:pt idx="7">
                  <c:v>FU</c:v>
                </c:pt>
                <c:pt idx="8">
                  <c:v>238U blank</c:v>
                </c:pt>
                <c:pt idx="9">
                  <c:v>(Th/U)zircon</c:v>
                </c:pt>
                <c:pt idx="10">
                  <c:v>(Th/U)magma</c:v>
                </c:pt>
                <c:pt idx="11">
                  <c:v>(Th/U)initial</c:v>
                </c:pt>
              </c:strCache>
            </c:strRef>
          </c:cat>
          <c:val>
            <c:numRef>
              <c:f>'Data Reduction Engine'!$W$838:$W$849</c:f>
              <c:numCache>
                <c:formatCode>0.00%</c:formatCode>
                <c:ptCount val="12"/>
                <c:pt idx="0">
                  <c:v>5.2132443343744124E-3</c:v>
                </c:pt>
                <c:pt idx="1">
                  <c:v>8.2562349454118042E-2</c:v>
                </c:pt>
                <c:pt idx="2">
                  <c:v>2.6811752082649778E-3</c:v>
                </c:pt>
                <c:pt idx="3">
                  <c:v>0.52128298718611221</c:v>
                </c:pt>
                <c:pt idx="4">
                  <c:v>0.38028106365984587</c:v>
                </c:pt>
                <c:pt idx="5">
                  <c:v>9.9999999999999995E-7</c:v>
                </c:pt>
                <c:pt idx="6">
                  <c:v>1.1559436534617862E-3</c:v>
                </c:pt>
                <c:pt idx="7">
                  <c:v>7.7039034134493856E-4</c:v>
                </c:pt>
                <c:pt idx="8">
                  <c:v>3.8679017944884754E-3</c:v>
                </c:pt>
                <c:pt idx="9">
                  <c:v>1.0761798839818977E-4</c:v>
                </c:pt>
                <c:pt idx="10">
                  <c:v>1.9058040179735147E-3</c:v>
                </c:pt>
                <c:pt idx="11">
                  <c:v>1.7152236161761629E-4</c:v>
                </c:pt>
              </c:numCache>
            </c:numRef>
          </c:val>
          <c:extLst>
            <c:ext xmlns:c16="http://schemas.microsoft.com/office/drawing/2014/chart" uri="{C3380CC4-5D6E-409C-BE32-E72D297353CC}">
              <c16:uniqueId val="{0000000C-2A20-6040-B56D-4BFA855A05E9}"/>
            </c:ext>
          </c:extLst>
        </c:ser>
        <c:dLbls>
          <c:showLegendKey val="0"/>
          <c:showVal val="0"/>
          <c:showCatName val="0"/>
          <c:showSerName val="0"/>
          <c:showPercent val="0"/>
          <c:showBubbleSize val="0"/>
        </c:dLbls>
        <c:gapWidth val="0"/>
        <c:axId val="1242371824"/>
        <c:axId val="1"/>
      </c:barChart>
      <c:catAx>
        <c:axId val="1242371824"/>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2423718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5225657768388698"/>
          <c:y val="0.15833333333333305"/>
          <c:w val="0.68669982715575228"/>
          <c:h val="0.64123496281714798"/>
        </c:manualLayout>
      </c:layout>
      <c:barChart>
        <c:barDir val="col"/>
        <c:grouping val="clustered"/>
        <c:varyColors val="1"/>
        <c:ser>
          <c:idx val="0"/>
          <c:order val="0"/>
          <c:tx>
            <c:strRef>
              <c:f>'Data Reduction Engine'!$W$5</c:f>
              <c:strCache>
                <c:ptCount val="1"/>
                <c:pt idx="0">
                  <c:v>z11b</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2BFF8"/>
                  </a:gs>
                  <a:gs pos="100000">
                    <a:srgbClr val="3670B6"/>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6DAA-2845-BDA1-AF9F5E2B379E}"/>
              </c:ext>
            </c:extLst>
          </c:dPt>
          <c:dPt>
            <c:idx val="1"/>
            <c:invertIfNegative val="0"/>
            <c:bubble3D val="0"/>
            <c:spPr>
              <a:gradFill rotWithShape="0">
                <a:gsLst>
                  <a:gs pos="0">
                    <a:srgbClr val="FAA1A0"/>
                  </a:gs>
                  <a:gs pos="100000">
                    <a:srgbClr val="B93734"/>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6DAA-2845-BDA1-AF9F5E2B379E}"/>
              </c:ext>
            </c:extLst>
          </c:dPt>
          <c:dPt>
            <c:idx val="2"/>
            <c:invertIfNegative val="0"/>
            <c:bubble3D val="0"/>
            <c:spPr>
              <a:gradFill rotWithShape="0">
                <a:gsLst>
                  <a:gs pos="0">
                    <a:srgbClr val="D4F4A6"/>
                  </a:gs>
                  <a:gs pos="100000">
                    <a:srgbClr val="8DB241"/>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6DAA-2845-BDA1-AF9F5E2B379E}"/>
              </c:ext>
            </c:extLst>
          </c:dPt>
          <c:dPt>
            <c:idx val="3"/>
            <c:invertIfNegative val="0"/>
            <c:bubble3D val="0"/>
            <c:spPr>
              <a:gradFill rotWithShape="0">
                <a:gsLst>
                  <a:gs pos="0">
                    <a:srgbClr val="C5B3E2"/>
                  </a:gs>
                  <a:gs pos="100000">
                    <a:srgbClr val="704F97"/>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6DAA-2845-BDA1-AF9F5E2B379E}"/>
              </c:ext>
            </c:extLst>
          </c:dPt>
          <c:dPt>
            <c:idx val="4"/>
            <c:invertIfNegative val="0"/>
            <c:bubble3D val="0"/>
            <c:spPr>
              <a:gradFill rotWithShape="0">
                <a:gsLst>
                  <a:gs pos="0">
                    <a:srgbClr val="9DE2FF"/>
                  </a:gs>
                  <a:gs pos="100000">
                    <a:srgbClr val="31A1C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6DAA-2845-BDA1-AF9F5E2B379E}"/>
              </c:ext>
            </c:extLst>
          </c:dPt>
          <c:dPt>
            <c:idx val="5"/>
            <c:invertIfNegative val="0"/>
            <c:bubble3D val="0"/>
            <c:spPr>
              <a:gradFill rotWithShape="0">
                <a:gsLst>
                  <a:gs pos="0">
                    <a:srgbClr val="FFB885"/>
                  </a:gs>
                  <a:gs pos="100000">
                    <a:srgbClr val="F28225"/>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6DAA-2845-BDA1-AF9F5E2B379E}"/>
              </c:ext>
            </c:extLst>
          </c:dPt>
          <c:dPt>
            <c:idx val="6"/>
            <c:invertIfNegative val="0"/>
            <c:bubble3D val="0"/>
            <c:spPr>
              <a:gradFill rotWithShape="0">
                <a:gsLst>
                  <a:gs pos="0">
                    <a:srgbClr val="B6D1FF"/>
                  </a:gs>
                  <a:gs pos="100000">
                    <a:srgbClr val="8AA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6-6DAA-2845-BDA1-AF9F5E2B379E}"/>
              </c:ext>
            </c:extLst>
          </c:dPt>
          <c:dPt>
            <c:idx val="7"/>
            <c:invertIfNegative val="0"/>
            <c:bubble3D val="0"/>
            <c:spPr>
              <a:gradFill rotWithShape="0">
                <a:gsLst>
                  <a:gs pos="0">
                    <a:srgbClr val="FFB6B4"/>
                  </a:gs>
                  <a:gs pos="100000">
                    <a:srgbClr val="DA8A8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6DAA-2845-BDA1-AF9F5E2B379E}"/>
              </c:ext>
            </c:extLst>
          </c:dPt>
          <c:dPt>
            <c:idx val="8"/>
            <c:invertIfNegative val="0"/>
            <c:bubble3D val="0"/>
            <c:spPr>
              <a:gradFill rotWithShape="0">
                <a:gsLst>
                  <a:gs pos="0">
                    <a:srgbClr val="E4FFBA"/>
                  </a:gs>
                  <a:gs pos="100000">
                    <a:srgbClr val="BBD68E"/>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6DAA-2845-BDA1-AF9F5E2B379E}"/>
              </c:ext>
            </c:extLst>
          </c:dPt>
          <c:dPt>
            <c:idx val="9"/>
            <c:invertIfNegative val="0"/>
            <c:bubble3D val="0"/>
            <c:spPr>
              <a:gradFill rotWithShape="0">
                <a:gsLst>
                  <a:gs pos="0">
                    <a:srgbClr val="D6C5F1"/>
                  </a:gs>
                  <a:gs pos="100000">
                    <a:srgbClr val="A896C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6DAA-2845-BDA1-AF9F5E2B379E}"/>
              </c:ext>
            </c:extLst>
          </c:dPt>
          <c:dPt>
            <c:idx val="10"/>
            <c:invertIfNegative val="0"/>
            <c:bubble3D val="0"/>
            <c:spPr>
              <a:gradFill rotWithShape="0">
                <a:gsLst>
                  <a:gs pos="0">
                    <a:srgbClr val="B2F1FF"/>
                  </a:gs>
                  <a:gs pos="100000">
                    <a:srgbClr val="87C8DF"/>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6DAA-2845-BDA1-AF9F5E2B379E}"/>
              </c:ext>
            </c:extLst>
          </c:dPt>
          <c:cat>
            <c:strRef>
              <c:f>'Data Reduction Engine'!$B$864:$B$874</c:f>
              <c:strCache>
                <c:ptCount val="11"/>
                <c:pt idx="0">
                  <c:v>(206/205)m</c:v>
                </c:pt>
                <c:pt idx="1">
                  <c:v>(207/206)m</c:v>
                </c:pt>
                <c:pt idx="2">
                  <c:v>(204/206)m</c:v>
                </c:pt>
                <c:pt idx="3">
                  <c:v>FPb</c:v>
                </c:pt>
                <c:pt idx="4">
                  <c:v>206Pb blank</c:v>
                </c:pt>
                <c:pt idx="5">
                  <c:v>(206/204)b</c:v>
                </c:pt>
                <c:pt idx="6">
                  <c:v>(207/206)c</c:v>
                </c:pt>
                <c:pt idx="7">
                  <c:v>(206/204)c</c:v>
                </c:pt>
                <c:pt idx="8">
                  <c:v>(206/205)t</c:v>
                </c:pt>
                <c:pt idx="9">
                  <c:v>(207/206)t</c:v>
                </c:pt>
                <c:pt idx="10">
                  <c:v>(204/205)t</c:v>
                </c:pt>
              </c:strCache>
            </c:strRef>
          </c:cat>
          <c:val>
            <c:numRef>
              <c:f>'Data Reduction Engine'!$W$864:$W$874</c:f>
              <c:numCache>
                <c:formatCode>0.00%</c:formatCode>
                <c:ptCount val="11"/>
                <c:pt idx="0">
                  <c:v>3.0913869019299826E-5</c:v>
                </c:pt>
                <c:pt idx="1">
                  <c:v>0.71890626337935737</c:v>
                </c:pt>
                <c:pt idx="2">
                  <c:v>4.8445267898212123E-2</c:v>
                </c:pt>
                <c:pt idx="3">
                  <c:v>8.0531668209297264E-4</c:v>
                </c:pt>
                <c:pt idx="4">
                  <c:v>6.6451849322653892E-3</c:v>
                </c:pt>
                <c:pt idx="5">
                  <c:v>0.22313824797168952</c:v>
                </c:pt>
                <c:pt idx="6">
                  <c:v>9.9999999999999995E-7</c:v>
                </c:pt>
                <c:pt idx="7">
                  <c:v>4.1845322528376993E-38</c:v>
                </c:pt>
                <c:pt idx="8">
                  <c:v>9.9999999999999995E-7</c:v>
                </c:pt>
                <c:pt idx="9">
                  <c:v>5.1760713133575045E-12</c:v>
                </c:pt>
                <c:pt idx="10">
                  <c:v>2.0288052621874196E-3</c:v>
                </c:pt>
              </c:numCache>
            </c:numRef>
          </c:val>
          <c:extLst>
            <c:ext xmlns:c16="http://schemas.microsoft.com/office/drawing/2014/chart" uri="{C3380CC4-5D6E-409C-BE32-E72D297353CC}">
              <c16:uniqueId val="{0000000B-6DAA-2845-BDA1-AF9F5E2B379E}"/>
            </c:ext>
          </c:extLst>
        </c:ser>
        <c:dLbls>
          <c:showLegendKey val="0"/>
          <c:showVal val="0"/>
          <c:showCatName val="0"/>
          <c:showSerName val="0"/>
          <c:showPercent val="0"/>
          <c:showBubbleSize val="0"/>
        </c:dLbls>
        <c:gapWidth val="0"/>
        <c:axId val="1242399728"/>
        <c:axId val="1"/>
      </c:barChart>
      <c:catAx>
        <c:axId val="1242399728"/>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2423997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8876896485500305"/>
          <c:y val="0.15778546712802805"/>
          <c:w val="0.76535740349529513"/>
          <c:h val="0.59972318339100306"/>
        </c:manualLayout>
      </c:layout>
      <c:barChart>
        <c:barDir val="col"/>
        <c:grouping val="clustered"/>
        <c:varyColors val="1"/>
        <c:ser>
          <c:idx val="0"/>
          <c:order val="0"/>
          <c:tx>
            <c:strRef>
              <c:f>'Data Reduction Engine'!$X$5</c:f>
              <c:strCache>
                <c:ptCount val="1"/>
                <c:pt idx="0">
                  <c:v>z12a</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5BFF0"/>
                  </a:gs>
                  <a:gs pos="100000">
                    <a:srgbClr val="3268A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09CF-894D-ACF0-68DC9980D279}"/>
              </c:ext>
            </c:extLst>
          </c:dPt>
          <c:dPt>
            <c:idx val="1"/>
            <c:invertIfNegative val="0"/>
            <c:bubble3D val="0"/>
            <c:spPr>
              <a:gradFill rotWithShape="0">
                <a:gsLst>
                  <a:gs pos="0">
                    <a:srgbClr val="F2A5A4"/>
                  </a:gs>
                  <a:gs pos="100000">
                    <a:srgbClr val="AD333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09CF-894D-ACF0-68DC9980D279}"/>
              </c:ext>
            </c:extLst>
          </c:dPt>
          <c:dPt>
            <c:idx val="2"/>
            <c:invertIfNegative val="0"/>
            <c:bubble3D val="0"/>
            <c:spPr>
              <a:gradFill rotWithShape="0">
                <a:gsLst>
                  <a:gs pos="0">
                    <a:srgbClr val="D1EDA8"/>
                  </a:gs>
                  <a:gs pos="100000">
                    <a:srgbClr val="83A6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09CF-894D-ACF0-68DC9980D279}"/>
              </c:ext>
            </c:extLst>
          </c:dPt>
          <c:dPt>
            <c:idx val="3"/>
            <c:invertIfNegative val="0"/>
            <c:bubble3D val="0"/>
            <c:spPr>
              <a:gradFill rotWithShape="0">
                <a:gsLst>
                  <a:gs pos="0">
                    <a:srgbClr val="C4B4DD"/>
                  </a:gs>
                  <a:gs pos="100000">
                    <a:srgbClr val="68498D"/>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09CF-894D-ACF0-68DC9980D279}"/>
              </c:ext>
            </c:extLst>
          </c:dPt>
          <c:dPt>
            <c:idx val="4"/>
            <c:invertIfNegative val="0"/>
            <c:bubble3D val="0"/>
            <c:spPr>
              <a:gradFill rotWithShape="0">
                <a:gsLst>
                  <a:gs pos="0">
                    <a:srgbClr val="A1DDF6"/>
                  </a:gs>
                  <a:gs pos="100000">
                    <a:srgbClr val="2D96B3"/>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09CF-894D-ACF0-68DC9980D279}"/>
              </c:ext>
            </c:extLst>
          </c:dPt>
          <c:dPt>
            <c:idx val="5"/>
            <c:invertIfNegative val="0"/>
            <c:bubble3D val="0"/>
            <c:spPr>
              <a:gradFill rotWithShape="0">
                <a:gsLst>
                  <a:gs pos="0">
                    <a:srgbClr val="FFB88C"/>
                  </a:gs>
                  <a:gs pos="100000">
                    <a:srgbClr val="E2792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09CF-894D-ACF0-68DC9980D279}"/>
              </c:ext>
            </c:extLst>
          </c:dPt>
          <c:dPt>
            <c:idx val="6"/>
            <c:invertIfNegative val="0"/>
            <c:bubble3D val="0"/>
            <c:extLst>
              <c:ext xmlns:c16="http://schemas.microsoft.com/office/drawing/2014/chart" uri="{C3380CC4-5D6E-409C-BE32-E72D297353CC}">
                <c16:uniqueId val="{00000006-09CF-894D-ACF0-68DC9980D279}"/>
              </c:ext>
            </c:extLst>
          </c:dPt>
          <c:dPt>
            <c:idx val="7"/>
            <c:invertIfNegative val="0"/>
            <c:bubble3D val="0"/>
            <c:spPr>
              <a:gradFill rotWithShape="0">
                <a:gsLst>
                  <a:gs pos="0">
                    <a:srgbClr val="FF9A99"/>
                  </a:gs>
                  <a:gs pos="100000">
                    <a:srgbClr val="D140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09CF-894D-ACF0-68DC9980D279}"/>
              </c:ext>
            </c:extLst>
          </c:dPt>
          <c:dPt>
            <c:idx val="8"/>
            <c:invertIfNegative val="0"/>
            <c:bubble3D val="0"/>
            <c:spPr>
              <a:gradFill rotWithShape="0">
                <a:gsLst>
                  <a:gs pos="0">
                    <a:srgbClr val="DCFFA0"/>
                  </a:gs>
                  <a:gs pos="100000">
                    <a:srgbClr val="A0CA4A"/>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09CF-894D-ACF0-68DC9980D279}"/>
              </c:ext>
            </c:extLst>
          </c:dPt>
          <c:dPt>
            <c:idx val="9"/>
            <c:invertIfNegative val="0"/>
            <c:bubble3D val="0"/>
            <c:spPr>
              <a:gradFill rotWithShape="0">
                <a:gsLst>
                  <a:gs pos="0">
                    <a:srgbClr val="C8B0ED"/>
                  </a:gs>
                  <a:gs pos="100000">
                    <a:srgbClr val="7F5BA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09CF-894D-ACF0-68DC9980D279}"/>
              </c:ext>
            </c:extLst>
          </c:dPt>
          <c:dPt>
            <c:idx val="10"/>
            <c:invertIfNegative val="0"/>
            <c:bubble3D val="0"/>
            <c:spPr>
              <a:gradFill rotWithShape="0">
                <a:gsLst>
                  <a:gs pos="0">
                    <a:srgbClr val="95EEFF"/>
                  </a:gs>
                  <a:gs pos="100000">
                    <a:srgbClr val="39B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09CF-894D-ACF0-68DC9980D279}"/>
              </c:ext>
            </c:extLst>
          </c:dPt>
          <c:dPt>
            <c:idx val="11"/>
            <c:invertIfNegative val="0"/>
            <c:bubble3D val="0"/>
            <c:spPr>
              <a:gradFill rotWithShape="0">
                <a:gsLst>
                  <a:gs pos="0">
                    <a:srgbClr val="FFB977"/>
                  </a:gs>
                  <a:gs pos="100000">
                    <a:srgbClr val="FF932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B-09CF-894D-ACF0-68DC9980D279}"/>
              </c:ext>
            </c:extLst>
          </c:dPt>
          <c:cat>
            <c:strRef>
              <c:f>'Data Reduction Engine'!$B$838:$B$849</c:f>
              <c:strCache>
                <c:ptCount val="12"/>
                <c:pt idx="0">
                  <c:v>(206/205)m</c:v>
                </c:pt>
                <c:pt idx="1">
                  <c:v>(204/206)m</c:v>
                </c:pt>
                <c:pt idx="2">
                  <c:v>FPb</c:v>
                </c:pt>
                <c:pt idx="3">
                  <c:v>206Pb blank</c:v>
                </c:pt>
                <c:pt idx="4">
                  <c:v>(206/204)b</c:v>
                </c:pt>
                <c:pt idx="5">
                  <c:v>(206/204)c</c:v>
                </c:pt>
                <c:pt idx="6">
                  <c:v>(238/235)m</c:v>
                </c:pt>
                <c:pt idx="7">
                  <c:v>FU</c:v>
                </c:pt>
                <c:pt idx="8">
                  <c:v>238U blank</c:v>
                </c:pt>
                <c:pt idx="9">
                  <c:v>(Th/U)zircon</c:v>
                </c:pt>
                <c:pt idx="10">
                  <c:v>(Th/U)magma</c:v>
                </c:pt>
                <c:pt idx="11">
                  <c:v>(Th/U)initial</c:v>
                </c:pt>
              </c:strCache>
            </c:strRef>
          </c:cat>
          <c:val>
            <c:numRef>
              <c:f>'Data Reduction Engine'!$X$838:$X$849</c:f>
              <c:numCache>
                <c:formatCode>0.00%</c:formatCode>
                <c:ptCount val="12"/>
                <c:pt idx="0">
                  <c:v>6.0838352151843987E-2</c:v>
                </c:pt>
                <c:pt idx="1">
                  <c:v>7.4722409483660338E-2</c:v>
                </c:pt>
                <c:pt idx="2">
                  <c:v>2.054855393207804E-2</c:v>
                </c:pt>
                <c:pt idx="3">
                  <c:v>0.46133061186248442</c:v>
                </c:pt>
                <c:pt idx="4">
                  <c:v>0.33654521649538854</c:v>
                </c:pt>
                <c:pt idx="5">
                  <c:v>9.9999999999999995E-7</c:v>
                </c:pt>
                <c:pt idx="6">
                  <c:v>2.2028499539087283E-3</c:v>
                </c:pt>
                <c:pt idx="7">
                  <c:v>1.2420322599443161E-2</c:v>
                </c:pt>
                <c:pt idx="8">
                  <c:v>3.84579114929563E-3</c:v>
                </c:pt>
                <c:pt idx="9">
                  <c:v>9.8147577146681935E-5</c:v>
                </c:pt>
                <c:pt idx="10">
                  <c:v>2.5181417242890514E-2</c:v>
                </c:pt>
                <c:pt idx="11">
                  <c:v>2.266327551860146E-3</c:v>
                </c:pt>
              </c:numCache>
            </c:numRef>
          </c:val>
          <c:extLst>
            <c:ext xmlns:c16="http://schemas.microsoft.com/office/drawing/2014/chart" uri="{C3380CC4-5D6E-409C-BE32-E72D297353CC}">
              <c16:uniqueId val="{0000000C-09CF-894D-ACF0-68DC9980D279}"/>
            </c:ext>
          </c:extLst>
        </c:ser>
        <c:dLbls>
          <c:showLegendKey val="0"/>
          <c:showVal val="0"/>
          <c:showCatName val="0"/>
          <c:showSerName val="0"/>
          <c:showPercent val="0"/>
          <c:showBubbleSize val="0"/>
        </c:dLbls>
        <c:gapWidth val="0"/>
        <c:axId val="1242428224"/>
        <c:axId val="1"/>
      </c:barChart>
      <c:catAx>
        <c:axId val="1242428224"/>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2424282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5225657768388698"/>
          <c:y val="0.15833333333333305"/>
          <c:w val="0.68669982715575228"/>
          <c:h val="0.64123496281714798"/>
        </c:manualLayout>
      </c:layout>
      <c:barChart>
        <c:barDir val="col"/>
        <c:grouping val="clustered"/>
        <c:varyColors val="1"/>
        <c:ser>
          <c:idx val="0"/>
          <c:order val="0"/>
          <c:tx>
            <c:strRef>
              <c:f>'Data Reduction Engine'!$X$5</c:f>
              <c:strCache>
                <c:ptCount val="1"/>
                <c:pt idx="0">
                  <c:v>z12a</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2BFF8"/>
                  </a:gs>
                  <a:gs pos="100000">
                    <a:srgbClr val="3670B6"/>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BCE6-2044-873F-E1E7AE861A7B}"/>
              </c:ext>
            </c:extLst>
          </c:dPt>
          <c:dPt>
            <c:idx val="1"/>
            <c:invertIfNegative val="0"/>
            <c:bubble3D val="0"/>
            <c:spPr>
              <a:gradFill rotWithShape="0">
                <a:gsLst>
                  <a:gs pos="0">
                    <a:srgbClr val="FAA1A0"/>
                  </a:gs>
                  <a:gs pos="100000">
                    <a:srgbClr val="B93734"/>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BCE6-2044-873F-E1E7AE861A7B}"/>
              </c:ext>
            </c:extLst>
          </c:dPt>
          <c:dPt>
            <c:idx val="2"/>
            <c:invertIfNegative val="0"/>
            <c:bubble3D val="0"/>
            <c:spPr>
              <a:gradFill rotWithShape="0">
                <a:gsLst>
                  <a:gs pos="0">
                    <a:srgbClr val="D4F4A6"/>
                  </a:gs>
                  <a:gs pos="100000">
                    <a:srgbClr val="8DB241"/>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BCE6-2044-873F-E1E7AE861A7B}"/>
              </c:ext>
            </c:extLst>
          </c:dPt>
          <c:dPt>
            <c:idx val="3"/>
            <c:invertIfNegative val="0"/>
            <c:bubble3D val="0"/>
            <c:spPr>
              <a:gradFill rotWithShape="0">
                <a:gsLst>
                  <a:gs pos="0">
                    <a:srgbClr val="C5B3E2"/>
                  </a:gs>
                  <a:gs pos="100000">
                    <a:srgbClr val="704F97"/>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BCE6-2044-873F-E1E7AE861A7B}"/>
              </c:ext>
            </c:extLst>
          </c:dPt>
          <c:dPt>
            <c:idx val="4"/>
            <c:invertIfNegative val="0"/>
            <c:bubble3D val="0"/>
            <c:spPr>
              <a:gradFill rotWithShape="0">
                <a:gsLst>
                  <a:gs pos="0">
                    <a:srgbClr val="9DE2FF"/>
                  </a:gs>
                  <a:gs pos="100000">
                    <a:srgbClr val="31A1C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BCE6-2044-873F-E1E7AE861A7B}"/>
              </c:ext>
            </c:extLst>
          </c:dPt>
          <c:dPt>
            <c:idx val="5"/>
            <c:invertIfNegative val="0"/>
            <c:bubble3D val="0"/>
            <c:spPr>
              <a:gradFill rotWithShape="0">
                <a:gsLst>
                  <a:gs pos="0">
                    <a:srgbClr val="FFB885"/>
                  </a:gs>
                  <a:gs pos="100000">
                    <a:srgbClr val="F28225"/>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BCE6-2044-873F-E1E7AE861A7B}"/>
              </c:ext>
            </c:extLst>
          </c:dPt>
          <c:dPt>
            <c:idx val="6"/>
            <c:invertIfNegative val="0"/>
            <c:bubble3D val="0"/>
            <c:spPr>
              <a:gradFill rotWithShape="0">
                <a:gsLst>
                  <a:gs pos="0">
                    <a:srgbClr val="B6D1FF"/>
                  </a:gs>
                  <a:gs pos="100000">
                    <a:srgbClr val="8AA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6-BCE6-2044-873F-E1E7AE861A7B}"/>
              </c:ext>
            </c:extLst>
          </c:dPt>
          <c:dPt>
            <c:idx val="7"/>
            <c:invertIfNegative val="0"/>
            <c:bubble3D val="0"/>
            <c:spPr>
              <a:gradFill rotWithShape="0">
                <a:gsLst>
                  <a:gs pos="0">
                    <a:srgbClr val="FFB6B4"/>
                  </a:gs>
                  <a:gs pos="100000">
                    <a:srgbClr val="DA8A8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BCE6-2044-873F-E1E7AE861A7B}"/>
              </c:ext>
            </c:extLst>
          </c:dPt>
          <c:dPt>
            <c:idx val="8"/>
            <c:invertIfNegative val="0"/>
            <c:bubble3D val="0"/>
            <c:spPr>
              <a:gradFill rotWithShape="0">
                <a:gsLst>
                  <a:gs pos="0">
                    <a:srgbClr val="E4FFBA"/>
                  </a:gs>
                  <a:gs pos="100000">
                    <a:srgbClr val="BBD68E"/>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BCE6-2044-873F-E1E7AE861A7B}"/>
              </c:ext>
            </c:extLst>
          </c:dPt>
          <c:dPt>
            <c:idx val="9"/>
            <c:invertIfNegative val="0"/>
            <c:bubble3D val="0"/>
            <c:spPr>
              <a:gradFill rotWithShape="0">
                <a:gsLst>
                  <a:gs pos="0">
                    <a:srgbClr val="D6C5F1"/>
                  </a:gs>
                  <a:gs pos="100000">
                    <a:srgbClr val="A896C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BCE6-2044-873F-E1E7AE861A7B}"/>
              </c:ext>
            </c:extLst>
          </c:dPt>
          <c:dPt>
            <c:idx val="10"/>
            <c:invertIfNegative val="0"/>
            <c:bubble3D val="0"/>
            <c:spPr>
              <a:gradFill rotWithShape="0">
                <a:gsLst>
                  <a:gs pos="0">
                    <a:srgbClr val="B2F1FF"/>
                  </a:gs>
                  <a:gs pos="100000">
                    <a:srgbClr val="87C8DF"/>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BCE6-2044-873F-E1E7AE861A7B}"/>
              </c:ext>
            </c:extLst>
          </c:dPt>
          <c:cat>
            <c:strRef>
              <c:f>'Data Reduction Engine'!$B$864:$B$874</c:f>
              <c:strCache>
                <c:ptCount val="11"/>
                <c:pt idx="0">
                  <c:v>(206/205)m</c:v>
                </c:pt>
                <c:pt idx="1">
                  <c:v>(207/206)m</c:v>
                </c:pt>
                <c:pt idx="2">
                  <c:v>(204/206)m</c:v>
                </c:pt>
                <c:pt idx="3">
                  <c:v>FPb</c:v>
                </c:pt>
                <c:pt idx="4">
                  <c:v>206Pb blank</c:v>
                </c:pt>
                <c:pt idx="5">
                  <c:v>(206/204)b</c:v>
                </c:pt>
                <c:pt idx="6">
                  <c:v>(207/206)c</c:v>
                </c:pt>
                <c:pt idx="7">
                  <c:v>(206/204)c</c:v>
                </c:pt>
                <c:pt idx="8">
                  <c:v>(206/205)t</c:v>
                </c:pt>
                <c:pt idx="9">
                  <c:v>(207/206)t</c:v>
                </c:pt>
                <c:pt idx="10">
                  <c:v>(204/205)t</c:v>
                </c:pt>
              </c:strCache>
            </c:strRef>
          </c:cat>
          <c:val>
            <c:numRef>
              <c:f>'Data Reduction Engine'!$X$864:$X$874</c:f>
              <c:numCache>
                <c:formatCode>0.00%</c:formatCode>
                <c:ptCount val="11"/>
                <c:pt idx="0">
                  <c:v>1.5554949813548261E-5</c:v>
                </c:pt>
                <c:pt idx="1">
                  <c:v>1.9186188007645044E-2</c:v>
                </c:pt>
                <c:pt idx="2">
                  <c:v>0.17315030138564691</c:v>
                </c:pt>
                <c:pt idx="3">
                  <c:v>3.5147990851696451E-3</c:v>
                </c:pt>
                <c:pt idx="4">
                  <c:v>2.2483948563451785E-2</c:v>
                </c:pt>
                <c:pt idx="5">
                  <c:v>0.77985849317154265</c:v>
                </c:pt>
                <c:pt idx="6">
                  <c:v>9.9999999999999995E-7</c:v>
                </c:pt>
                <c:pt idx="7">
                  <c:v>5.2376688282820128E-38</c:v>
                </c:pt>
                <c:pt idx="8">
                  <c:v>9.9999999999999995E-7</c:v>
                </c:pt>
                <c:pt idx="9">
                  <c:v>4.5940615181147489E-12</c:v>
                </c:pt>
                <c:pt idx="10">
                  <c:v>1.7907148321362511E-3</c:v>
                </c:pt>
              </c:numCache>
            </c:numRef>
          </c:val>
          <c:extLst>
            <c:ext xmlns:c16="http://schemas.microsoft.com/office/drawing/2014/chart" uri="{C3380CC4-5D6E-409C-BE32-E72D297353CC}">
              <c16:uniqueId val="{0000000B-BCE6-2044-873F-E1E7AE861A7B}"/>
            </c:ext>
          </c:extLst>
        </c:ser>
        <c:dLbls>
          <c:showLegendKey val="0"/>
          <c:showVal val="0"/>
          <c:showCatName val="0"/>
          <c:showSerName val="0"/>
          <c:showPercent val="0"/>
          <c:showBubbleSize val="0"/>
        </c:dLbls>
        <c:gapWidth val="0"/>
        <c:axId val="1242456208"/>
        <c:axId val="1"/>
      </c:barChart>
      <c:catAx>
        <c:axId val="1242456208"/>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2424562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8876896485500305"/>
          <c:y val="0.15778546712802805"/>
          <c:w val="0.76535740349529513"/>
          <c:h val="0.59972318339100306"/>
        </c:manualLayout>
      </c:layout>
      <c:barChart>
        <c:barDir val="col"/>
        <c:grouping val="clustered"/>
        <c:varyColors val="1"/>
        <c:ser>
          <c:idx val="0"/>
          <c:order val="0"/>
          <c:tx>
            <c:strRef>
              <c:f>'Data Reduction Engine'!$Y$5</c:f>
              <c:strCache>
                <c:ptCount val="1"/>
                <c:pt idx="0">
                  <c:v>z12b</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5BFF0"/>
                  </a:gs>
                  <a:gs pos="100000">
                    <a:srgbClr val="3268A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37ED-AD46-8EB7-94A60B0F09DE}"/>
              </c:ext>
            </c:extLst>
          </c:dPt>
          <c:dPt>
            <c:idx val="1"/>
            <c:invertIfNegative val="0"/>
            <c:bubble3D val="0"/>
            <c:spPr>
              <a:gradFill rotWithShape="0">
                <a:gsLst>
                  <a:gs pos="0">
                    <a:srgbClr val="F2A5A4"/>
                  </a:gs>
                  <a:gs pos="100000">
                    <a:srgbClr val="AD333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37ED-AD46-8EB7-94A60B0F09DE}"/>
              </c:ext>
            </c:extLst>
          </c:dPt>
          <c:dPt>
            <c:idx val="2"/>
            <c:invertIfNegative val="0"/>
            <c:bubble3D val="0"/>
            <c:spPr>
              <a:gradFill rotWithShape="0">
                <a:gsLst>
                  <a:gs pos="0">
                    <a:srgbClr val="D1EDA8"/>
                  </a:gs>
                  <a:gs pos="100000">
                    <a:srgbClr val="83A6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37ED-AD46-8EB7-94A60B0F09DE}"/>
              </c:ext>
            </c:extLst>
          </c:dPt>
          <c:dPt>
            <c:idx val="3"/>
            <c:invertIfNegative val="0"/>
            <c:bubble3D val="0"/>
            <c:spPr>
              <a:gradFill rotWithShape="0">
                <a:gsLst>
                  <a:gs pos="0">
                    <a:srgbClr val="C4B4DD"/>
                  </a:gs>
                  <a:gs pos="100000">
                    <a:srgbClr val="68498D"/>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37ED-AD46-8EB7-94A60B0F09DE}"/>
              </c:ext>
            </c:extLst>
          </c:dPt>
          <c:dPt>
            <c:idx val="4"/>
            <c:invertIfNegative val="0"/>
            <c:bubble3D val="0"/>
            <c:spPr>
              <a:gradFill rotWithShape="0">
                <a:gsLst>
                  <a:gs pos="0">
                    <a:srgbClr val="A1DDF6"/>
                  </a:gs>
                  <a:gs pos="100000">
                    <a:srgbClr val="2D96B3"/>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37ED-AD46-8EB7-94A60B0F09DE}"/>
              </c:ext>
            </c:extLst>
          </c:dPt>
          <c:dPt>
            <c:idx val="5"/>
            <c:invertIfNegative val="0"/>
            <c:bubble3D val="0"/>
            <c:spPr>
              <a:gradFill rotWithShape="0">
                <a:gsLst>
                  <a:gs pos="0">
                    <a:srgbClr val="FFB88C"/>
                  </a:gs>
                  <a:gs pos="100000">
                    <a:srgbClr val="E2792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37ED-AD46-8EB7-94A60B0F09DE}"/>
              </c:ext>
            </c:extLst>
          </c:dPt>
          <c:dPt>
            <c:idx val="6"/>
            <c:invertIfNegative val="0"/>
            <c:bubble3D val="0"/>
            <c:extLst>
              <c:ext xmlns:c16="http://schemas.microsoft.com/office/drawing/2014/chart" uri="{C3380CC4-5D6E-409C-BE32-E72D297353CC}">
                <c16:uniqueId val="{00000006-37ED-AD46-8EB7-94A60B0F09DE}"/>
              </c:ext>
            </c:extLst>
          </c:dPt>
          <c:dPt>
            <c:idx val="7"/>
            <c:invertIfNegative val="0"/>
            <c:bubble3D val="0"/>
            <c:spPr>
              <a:gradFill rotWithShape="0">
                <a:gsLst>
                  <a:gs pos="0">
                    <a:srgbClr val="FF9A99"/>
                  </a:gs>
                  <a:gs pos="100000">
                    <a:srgbClr val="D140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37ED-AD46-8EB7-94A60B0F09DE}"/>
              </c:ext>
            </c:extLst>
          </c:dPt>
          <c:dPt>
            <c:idx val="8"/>
            <c:invertIfNegative val="0"/>
            <c:bubble3D val="0"/>
            <c:spPr>
              <a:gradFill rotWithShape="0">
                <a:gsLst>
                  <a:gs pos="0">
                    <a:srgbClr val="DCFFA0"/>
                  </a:gs>
                  <a:gs pos="100000">
                    <a:srgbClr val="A0CA4A"/>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37ED-AD46-8EB7-94A60B0F09DE}"/>
              </c:ext>
            </c:extLst>
          </c:dPt>
          <c:dPt>
            <c:idx val="9"/>
            <c:invertIfNegative val="0"/>
            <c:bubble3D val="0"/>
            <c:spPr>
              <a:gradFill rotWithShape="0">
                <a:gsLst>
                  <a:gs pos="0">
                    <a:srgbClr val="C8B0ED"/>
                  </a:gs>
                  <a:gs pos="100000">
                    <a:srgbClr val="7F5BA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37ED-AD46-8EB7-94A60B0F09DE}"/>
              </c:ext>
            </c:extLst>
          </c:dPt>
          <c:dPt>
            <c:idx val="10"/>
            <c:invertIfNegative val="0"/>
            <c:bubble3D val="0"/>
            <c:spPr>
              <a:gradFill rotWithShape="0">
                <a:gsLst>
                  <a:gs pos="0">
                    <a:srgbClr val="95EEFF"/>
                  </a:gs>
                  <a:gs pos="100000">
                    <a:srgbClr val="39B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37ED-AD46-8EB7-94A60B0F09DE}"/>
              </c:ext>
            </c:extLst>
          </c:dPt>
          <c:dPt>
            <c:idx val="11"/>
            <c:invertIfNegative val="0"/>
            <c:bubble3D val="0"/>
            <c:spPr>
              <a:gradFill rotWithShape="0">
                <a:gsLst>
                  <a:gs pos="0">
                    <a:srgbClr val="FFB977"/>
                  </a:gs>
                  <a:gs pos="100000">
                    <a:srgbClr val="FF932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B-37ED-AD46-8EB7-94A60B0F09DE}"/>
              </c:ext>
            </c:extLst>
          </c:dPt>
          <c:cat>
            <c:strRef>
              <c:f>'Data Reduction Engine'!$B$838:$B$849</c:f>
              <c:strCache>
                <c:ptCount val="12"/>
                <c:pt idx="0">
                  <c:v>(206/205)m</c:v>
                </c:pt>
                <c:pt idx="1">
                  <c:v>(204/206)m</c:v>
                </c:pt>
                <c:pt idx="2">
                  <c:v>FPb</c:v>
                </c:pt>
                <c:pt idx="3">
                  <c:v>206Pb blank</c:v>
                </c:pt>
                <c:pt idx="4">
                  <c:v>(206/204)b</c:v>
                </c:pt>
                <c:pt idx="5">
                  <c:v>(206/204)c</c:v>
                </c:pt>
                <c:pt idx="6">
                  <c:v>(238/235)m</c:v>
                </c:pt>
                <c:pt idx="7">
                  <c:v>FU</c:v>
                </c:pt>
                <c:pt idx="8">
                  <c:v>238U blank</c:v>
                </c:pt>
                <c:pt idx="9">
                  <c:v>(Th/U)zircon</c:v>
                </c:pt>
                <c:pt idx="10">
                  <c:v>(Th/U)magma</c:v>
                </c:pt>
                <c:pt idx="11">
                  <c:v>(Th/U)initial</c:v>
                </c:pt>
              </c:strCache>
            </c:strRef>
          </c:cat>
          <c:val>
            <c:numRef>
              <c:f>'Data Reduction Engine'!$Y$838:$Y$849</c:f>
              <c:numCache>
                <c:formatCode>0.00%</c:formatCode>
                <c:ptCount val="12"/>
                <c:pt idx="0">
                  <c:v>5.0227248955192538E-2</c:v>
                </c:pt>
                <c:pt idx="1">
                  <c:v>0.10690764935568475</c:v>
                </c:pt>
                <c:pt idx="2">
                  <c:v>1.0704897147969529E-2</c:v>
                </c:pt>
                <c:pt idx="3">
                  <c:v>0.46721294464451407</c:v>
                </c:pt>
                <c:pt idx="4">
                  <c:v>0.34083643608654846</c:v>
                </c:pt>
                <c:pt idx="5">
                  <c:v>5.2613455101962071E-3</c:v>
                </c:pt>
                <c:pt idx="6">
                  <c:v>8.4951564475381589E-4</c:v>
                </c:pt>
                <c:pt idx="7">
                  <c:v>3.9134462604537004E-3</c:v>
                </c:pt>
                <c:pt idx="8">
                  <c:v>2.8680310858153848E-3</c:v>
                </c:pt>
                <c:pt idx="9">
                  <c:v>1.0522916169211786E-4</c:v>
                </c:pt>
                <c:pt idx="10">
                  <c:v>1.0195647841448961E-2</c:v>
                </c:pt>
                <c:pt idx="11">
                  <c:v>9.1760830573040669E-4</c:v>
                </c:pt>
              </c:numCache>
            </c:numRef>
          </c:val>
          <c:extLst>
            <c:ext xmlns:c16="http://schemas.microsoft.com/office/drawing/2014/chart" uri="{C3380CC4-5D6E-409C-BE32-E72D297353CC}">
              <c16:uniqueId val="{0000000C-37ED-AD46-8EB7-94A60B0F09DE}"/>
            </c:ext>
          </c:extLst>
        </c:ser>
        <c:dLbls>
          <c:showLegendKey val="0"/>
          <c:showVal val="0"/>
          <c:showCatName val="0"/>
          <c:showSerName val="0"/>
          <c:showPercent val="0"/>
          <c:showBubbleSize val="0"/>
        </c:dLbls>
        <c:gapWidth val="0"/>
        <c:axId val="1242347424"/>
        <c:axId val="1"/>
      </c:barChart>
      <c:catAx>
        <c:axId val="1242347424"/>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2423474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5225657768388698"/>
          <c:y val="0.15833333333333305"/>
          <c:w val="0.68669982715575228"/>
          <c:h val="0.64123496281714798"/>
        </c:manualLayout>
      </c:layout>
      <c:barChart>
        <c:barDir val="col"/>
        <c:grouping val="clustered"/>
        <c:varyColors val="1"/>
        <c:ser>
          <c:idx val="0"/>
          <c:order val="0"/>
          <c:tx>
            <c:strRef>
              <c:f>'Data Reduction Engine'!$Y$5</c:f>
              <c:strCache>
                <c:ptCount val="1"/>
                <c:pt idx="0">
                  <c:v>z12b</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2BFF8"/>
                  </a:gs>
                  <a:gs pos="100000">
                    <a:srgbClr val="3670B6"/>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87DA-2745-BCDA-1F0C0B7C9971}"/>
              </c:ext>
            </c:extLst>
          </c:dPt>
          <c:dPt>
            <c:idx val="1"/>
            <c:invertIfNegative val="0"/>
            <c:bubble3D val="0"/>
            <c:spPr>
              <a:gradFill rotWithShape="0">
                <a:gsLst>
                  <a:gs pos="0">
                    <a:srgbClr val="FAA1A0"/>
                  </a:gs>
                  <a:gs pos="100000">
                    <a:srgbClr val="B93734"/>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87DA-2745-BCDA-1F0C0B7C9971}"/>
              </c:ext>
            </c:extLst>
          </c:dPt>
          <c:dPt>
            <c:idx val="2"/>
            <c:invertIfNegative val="0"/>
            <c:bubble3D val="0"/>
            <c:spPr>
              <a:gradFill rotWithShape="0">
                <a:gsLst>
                  <a:gs pos="0">
                    <a:srgbClr val="D4F4A6"/>
                  </a:gs>
                  <a:gs pos="100000">
                    <a:srgbClr val="8DB241"/>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87DA-2745-BCDA-1F0C0B7C9971}"/>
              </c:ext>
            </c:extLst>
          </c:dPt>
          <c:dPt>
            <c:idx val="3"/>
            <c:invertIfNegative val="0"/>
            <c:bubble3D val="0"/>
            <c:spPr>
              <a:gradFill rotWithShape="0">
                <a:gsLst>
                  <a:gs pos="0">
                    <a:srgbClr val="C5B3E2"/>
                  </a:gs>
                  <a:gs pos="100000">
                    <a:srgbClr val="704F97"/>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87DA-2745-BCDA-1F0C0B7C9971}"/>
              </c:ext>
            </c:extLst>
          </c:dPt>
          <c:dPt>
            <c:idx val="4"/>
            <c:invertIfNegative val="0"/>
            <c:bubble3D val="0"/>
            <c:spPr>
              <a:gradFill rotWithShape="0">
                <a:gsLst>
                  <a:gs pos="0">
                    <a:srgbClr val="9DE2FF"/>
                  </a:gs>
                  <a:gs pos="100000">
                    <a:srgbClr val="31A1C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87DA-2745-BCDA-1F0C0B7C9971}"/>
              </c:ext>
            </c:extLst>
          </c:dPt>
          <c:dPt>
            <c:idx val="5"/>
            <c:invertIfNegative val="0"/>
            <c:bubble3D val="0"/>
            <c:spPr>
              <a:gradFill rotWithShape="0">
                <a:gsLst>
                  <a:gs pos="0">
                    <a:srgbClr val="FFB885"/>
                  </a:gs>
                  <a:gs pos="100000">
                    <a:srgbClr val="F28225"/>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87DA-2745-BCDA-1F0C0B7C9971}"/>
              </c:ext>
            </c:extLst>
          </c:dPt>
          <c:dPt>
            <c:idx val="6"/>
            <c:invertIfNegative val="0"/>
            <c:bubble3D val="0"/>
            <c:spPr>
              <a:gradFill rotWithShape="0">
                <a:gsLst>
                  <a:gs pos="0">
                    <a:srgbClr val="B6D1FF"/>
                  </a:gs>
                  <a:gs pos="100000">
                    <a:srgbClr val="8AA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6-87DA-2745-BCDA-1F0C0B7C9971}"/>
              </c:ext>
            </c:extLst>
          </c:dPt>
          <c:dPt>
            <c:idx val="7"/>
            <c:invertIfNegative val="0"/>
            <c:bubble3D val="0"/>
            <c:spPr>
              <a:gradFill rotWithShape="0">
                <a:gsLst>
                  <a:gs pos="0">
                    <a:srgbClr val="FFB6B4"/>
                  </a:gs>
                  <a:gs pos="100000">
                    <a:srgbClr val="DA8A8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87DA-2745-BCDA-1F0C0B7C9971}"/>
              </c:ext>
            </c:extLst>
          </c:dPt>
          <c:dPt>
            <c:idx val="8"/>
            <c:invertIfNegative val="0"/>
            <c:bubble3D val="0"/>
            <c:spPr>
              <a:gradFill rotWithShape="0">
                <a:gsLst>
                  <a:gs pos="0">
                    <a:srgbClr val="E4FFBA"/>
                  </a:gs>
                  <a:gs pos="100000">
                    <a:srgbClr val="BBD68E"/>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87DA-2745-BCDA-1F0C0B7C9971}"/>
              </c:ext>
            </c:extLst>
          </c:dPt>
          <c:dPt>
            <c:idx val="9"/>
            <c:invertIfNegative val="0"/>
            <c:bubble3D val="0"/>
            <c:spPr>
              <a:gradFill rotWithShape="0">
                <a:gsLst>
                  <a:gs pos="0">
                    <a:srgbClr val="D6C5F1"/>
                  </a:gs>
                  <a:gs pos="100000">
                    <a:srgbClr val="A896C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87DA-2745-BCDA-1F0C0B7C9971}"/>
              </c:ext>
            </c:extLst>
          </c:dPt>
          <c:dPt>
            <c:idx val="10"/>
            <c:invertIfNegative val="0"/>
            <c:bubble3D val="0"/>
            <c:spPr>
              <a:gradFill rotWithShape="0">
                <a:gsLst>
                  <a:gs pos="0">
                    <a:srgbClr val="B2F1FF"/>
                  </a:gs>
                  <a:gs pos="100000">
                    <a:srgbClr val="87C8DF"/>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87DA-2745-BCDA-1F0C0B7C9971}"/>
              </c:ext>
            </c:extLst>
          </c:dPt>
          <c:cat>
            <c:strRef>
              <c:f>'Data Reduction Engine'!$B$864:$B$874</c:f>
              <c:strCache>
                <c:ptCount val="11"/>
                <c:pt idx="0">
                  <c:v>(206/205)m</c:v>
                </c:pt>
                <c:pt idx="1">
                  <c:v>(207/206)m</c:v>
                </c:pt>
                <c:pt idx="2">
                  <c:v>(204/206)m</c:v>
                </c:pt>
                <c:pt idx="3">
                  <c:v>FPb</c:v>
                </c:pt>
                <c:pt idx="4">
                  <c:v>206Pb blank</c:v>
                </c:pt>
                <c:pt idx="5">
                  <c:v>(206/204)b</c:v>
                </c:pt>
                <c:pt idx="6">
                  <c:v>(207/206)c</c:v>
                </c:pt>
                <c:pt idx="7">
                  <c:v>(206/204)c</c:v>
                </c:pt>
                <c:pt idx="8">
                  <c:v>(206/205)t</c:v>
                </c:pt>
                <c:pt idx="9">
                  <c:v>(207/206)t</c:v>
                </c:pt>
                <c:pt idx="10">
                  <c:v>(204/205)t</c:v>
                </c:pt>
              </c:strCache>
            </c:strRef>
          </c:cat>
          <c:val>
            <c:numRef>
              <c:f>'Data Reduction Engine'!$Y$864:$Y$874</c:f>
              <c:numCache>
                <c:formatCode>0.00%</c:formatCode>
                <c:ptCount val="11"/>
                <c:pt idx="0">
                  <c:v>1.8657434857024668E-5</c:v>
                </c:pt>
                <c:pt idx="1">
                  <c:v>4.0300326938831496E-2</c:v>
                </c:pt>
                <c:pt idx="2">
                  <c:v>0.22295341943839256</c:v>
                </c:pt>
                <c:pt idx="3">
                  <c:v>3.9032892935661765E-3</c:v>
                </c:pt>
                <c:pt idx="4">
                  <c:v>2.0476562521699663E-2</c:v>
                </c:pt>
                <c:pt idx="5">
                  <c:v>0.71080647037582967</c:v>
                </c:pt>
                <c:pt idx="6">
                  <c:v>6.8610471721362767E-4</c:v>
                </c:pt>
                <c:pt idx="7">
                  <c:v>3.8298323996142461E-5</c:v>
                </c:pt>
                <c:pt idx="8">
                  <c:v>9.9999999999999995E-7</c:v>
                </c:pt>
                <c:pt idx="9">
                  <c:v>2.0959618340672531E-12</c:v>
                </c:pt>
                <c:pt idx="10">
                  <c:v>8.1687095351756702E-4</c:v>
                </c:pt>
              </c:numCache>
            </c:numRef>
          </c:val>
          <c:extLst>
            <c:ext xmlns:c16="http://schemas.microsoft.com/office/drawing/2014/chart" uri="{C3380CC4-5D6E-409C-BE32-E72D297353CC}">
              <c16:uniqueId val="{0000000B-87DA-2745-BCDA-1F0C0B7C9971}"/>
            </c:ext>
          </c:extLst>
        </c:ser>
        <c:dLbls>
          <c:showLegendKey val="0"/>
          <c:showVal val="0"/>
          <c:showCatName val="0"/>
          <c:showSerName val="0"/>
          <c:showPercent val="0"/>
          <c:showBubbleSize val="0"/>
        </c:dLbls>
        <c:gapWidth val="0"/>
        <c:axId val="1242325616"/>
        <c:axId val="1"/>
      </c:barChart>
      <c:catAx>
        <c:axId val="1242325616"/>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24232561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8876896485500305"/>
          <c:y val="0.15778546712802805"/>
          <c:w val="0.76535740349529513"/>
          <c:h val="0.59972318339100306"/>
        </c:manualLayout>
      </c:layout>
      <c:barChart>
        <c:barDir val="col"/>
        <c:grouping val="clustered"/>
        <c:varyColors val="1"/>
        <c:ser>
          <c:idx val="0"/>
          <c:order val="0"/>
          <c:tx>
            <c:strRef>
              <c:f>'Data Reduction Engine'!$Z$5</c:f>
              <c:strCache>
                <c:ptCount val="1"/>
                <c:pt idx="0">
                  <c:v>z13</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5BFF0"/>
                  </a:gs>
                  <a:gs pos="100000">
                    <a:srgbClr val="3268A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E76B-514C-9BCE-29206A864905}"/>
              </c:ext>
            </c:extLst>
          </c:dPt>
          <c:dPt>
            <c:idx val="1"/>
            <c:invertIfNegative val="0"/>
            <c:bubble3D val="0"/>
            <c:spPr>
              <a:gradFill rotWithShape="0">
                <a:gsLst>
                  <a:gs pos="0">
                    <a:srgbClr val="F2A5A4"/>
                  </a:gs>
                  <a:gs pos="100000">
                    <a:srgbClr val="AD333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E76B-514C-9BCE-29206A864905}"/>
              </c:ext>
            </c:extLst>
          </c:dPt>
          <c:dPt>
            <c:idx val="2"/>
            <c:invertIfNegative val="0"/>
            <c:bubble3D val="0"/>
            <c:spPr>
              <a:gradFill rotWithShape="0">
                <a:gsLst>
                  <a:gs pos="0">
                    <a:srgbClr val="D1EDA8"/>
                  </a:gs>
                  <a:gs pos="100000">
                    <a:srgbClr val="83A6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E76B-514C-9BCE-29206A864905}"/>
              </c:ext>
            </c:extLst>
          </c:dPt>
          <c:dPt>
            <c:idx val="3"/>
            <c:invertIfNegative val="0"/>
            <c:bubble3D val="0"/>
            <c:spPr>
              <a:gradFill rotWithShape="0">
                <a:gsLst>
                  <a:gs pos="0">
                    <a:srgbClr val="C4B4DD"/>
                  </a:gs>
                  <a:gs pos="100000">
                    <a:srgbClr val="68498D"/>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E76B-514C-9BCE-29206A864905}"/>
              </c:ext>
            </c:extLst>
          </c:dPt>
          <c:dPt>
            <c:idx val="4"/>
            <c:invertIfNegative val="0"/>
            <c:bubble3D val="0"/>
            <c:spPr>
              <a:gradFill rotWithShape="0">
                <a:gsLst>
                  <a:gs pos="0">
                    <a:srgbClr val="A1DDF6"/>
                  </a:gs>
                  <a:gs pos="100000">
                    <a:srgbClr val="2D96B3"/>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E76B-514C-9BCE-29206A864905}"/>
              </c:ext>
            </c:extLst>
          </c:dPt>
          <c:dPt>
            <c:idx val="5"/>
            <c:invertIfNegative val="0"/>
            <c:bubble3D val="0"/>
            <c:spPr>
              <a:gradFill rotWithShape="0">
                <a:gsLst>
                  <a:gs pos="0">
                    <a:srgbClr val="FFB88C"/>
                  </a:gs>
                  <a:gs pos="100000">
                    <a:srgbClr val="E2792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E76B-514C-9BCE-29206A864905}"/>
              </c:ext>
            </c:extLst>
          </c:dPt>
          <c:dPt>
            <c:idx val="6"/>
            <c:invertIfNegative val="0"/>
            <c:bubble3D val="0"/>
            <c:extLst>
              <c:ext xmlns:c16="http://schemas.microsoft.com/office/drawing/2014/chart" uri="{C3380CC4-5D6E-409C-BE32-E72D297353CC}">
                <c16:uniqueId val="{00000006-E76B-514C-9BCE-29206A864905}"/>
              </c:ext>
            </c:extLst>
          </c:dPt>
          <c:dPt>
            <c:idx val="7"/>
            <c:invertIfNegative val="0"/>
            <c:bubble3D val="0"/>
            <c:spPr>
              <a:gradFill rotWithShape="0">
                <a:gsLst>
                  <a:gs pos="0">
                    <a:srgbClr val="FF9A99"/>
                  </a:gs>
                  <a:gs pos="100000">
                    <a:srgbClr val="D140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E76B-514C-9BCE-29206A864905}"/>
              </c:ext>
            </c:extLst>
          </c:dPt>
          <c:dPt>
            <c:idx val="8"/>
            <c:invertIfNegative val="0"/>
            <c:bubble3D val="0"/>
            <c:spPr>
              <a:gradFill rotWithShape="0">
                <a:gsLst>
                  <a:gs pos="0">
                    <a:srgbClr val="DCFFA0"/>
                  </a:gs>
                  <a:gs pos="100000">
                    <a:srgbClr val="A0CA4A"/>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E76B-514C-9BCE-29206A864905}"/>
              </c:ext>
            </c:extLst>
          </c:dPt>
          <c:dPt>
            <c:idx val="9"/>
            <c:invertIfNegative val="0"/>
            <c:bubble3D val="0"/>
            <c:spPr>
              <a:gradFill rotWithShape="0">
                <a:gsLst>
                  <a:gs pos="0">
                    <a:srgbClr val="C8B0ED"/>
                  </a:gs>
                  <a:gs pos="100000">
                    <a:srgbClr val="7F5BA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E76B-514C-9BCE-29206A864905}"/>
              </c:ext>
            </c:extLst>
          </c:dPt>
          <c:dPt>
            <c:idx val="10"/>
            <c:invertIfNegative val="0"/>
            <c:bubble3D val="0"/>
            <c:spPr>
              <a:gradFill rotWithShape="0">
                <a:gsLst>
                  <a:gs pos="0">
                    <a:srgbClr val="95EEFF"/>
                  </a:gs>
                  <a:gs pos="100000">
                    <a:srgbClr val="39B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E76B-514C-9BCE-29206A864905}"/>
              </c:ext>
            </c:extLst>
          </c:dPt>
          <c:dPt>
            <c:idx val="11"/>
            <c:invertIfNegative val="0"/>
            <c:bubble3D val="0"/>
            <c:spPr>
              <a:gradFill rotWithShape="0">
                <a:gsLst>
                  <a:gs pos="0">
                    <a:srgbClr val="FFB977"/>
                  </a:gs>
                  <a:gs pos="100000">
                    <a:srgbClr val="FF932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B-E76B-514C-9BCE-29206A864905}"/>
              </c:ext>
            </c:extLst>
          </c:dPt>
          <c:cat>
            <c:strRef>
              <c:f>'Data Reduction Engine'!$B$838:$B$849</c:f>
              <c:strCache>
                <c:ptCount val="12"/>
                <c:pt idx="0">
                  <c:v>(206/205)m</c:v>
                </c:pt>
                <c:pt idx="1">
                  <c:v>(204/206)m</c:v>
                </c:pt>
                <c:pt idx="2">
                  <c:v>FPb</c:v>
                </c:pt>
                <c:pt idx="3">
                  <c:v>206Pb blank</c:v>
                </c:pt>
                <c:pt idx="4">
                  <c:v>(206/204)b</c:v>
                </c:pt>
                <c:pt idx="5">
                  <c:v>(206/204)c</c:v>
                </c:pt>
                <c:pt idx="6">
                  <c:v>(238/235)m</c:v>
                </c:pt>
                <c:pt idx="7">
                  <c:v>FU</c:v>
                </c:pt>
                <c:pt idx="8">
                  <c:v>238U blank</c:v>
                </c:pt>
                <c:pt idx="9">
                  <c:v>(Th/U)zircon</c:v>
                </c:pt>
                <c:pt idx="10">
                  <c:v>(Th/U)magma</c:v>
                </c:pt>
                <c:pt idx="11">
                  <c:v>(Th/U)initial</c:v>
                </c:pt>
              </c:strCache>
            </c:strRef>
          </c:cat>
          <c:val>
            <c:numRef>
              <c:f>'Data Reduction Engine'!$Z$838:$Z$849</c:f>
              <c:numCache>
                <c:formatCode>0.00%</c:formatCode>
                <c:ptCount val="12"/>
                <c:pt idx="0">
                  <c:v>4.4760265791140043E-2</c:v>
                </c:pt>
                <c:pt idx="1">
                  <c:v>9.8525394037412117E-2</c:v>
                </c:pt>
                <c:pt idx="2">
                  <c:v>7.8014114347548583E-3</c:v>
                </c:pt>
                <c:pt idx="3">
                  <c:v>0.48198226494044422</c:v>
                </c:pt>
                <c:pt idx="4">
                  <c:v>0.35161080043322918</c:v>
                </c:pt>
                <c:pt idx="5">
                  <c:v>1.6959712708869738E-4</c:v>
                </c:pt>
                <c:pt idx="6">
                  <c:v>4.1684252571602722E-3</c:v>
                </c:pt>
                <c:pt idx="7">
                  <c:v>3.5932031980389894E-3</c:v>
                </c:pt>
                <c:pt idx="8">
                  <c:v>2.9375192559673866E-3</c:v>
                </c:pt>
                <c:pt idx="9">
                  <c:v>1.0404065473189973E-4</c:v>
                </c:pt>
                <c:pt idx="10">
                  <c:v>3.9881448348918717E-3</c:v>
                </c:pt>
                <c:pt idx="11">
                  <c:v>3.5893303514026849E-4</c:v>
                </c:pt>
              </c:numCache>
            </c:numRef>
          </c:val>
          <c:extLst>
            <c:ext xmlns:c16="http://schemas.microsoft.com/office/drawing/2014/chart" uri="{C3380CC4-5D6E-409C-BE32-E72D297353CC}">
              <c16:uniqueId val="{0000000C-E76B-514C-9BCE-29206A864905}"/>
            </c:ext>
          </c:extLst>
        </c:ser>
        <c:dLbls>
          <c:showLegendKey val="0"/>
          <c:showVal val="0"/>
          <c:showCatName val="0"/>
          <c:showSerName val="0"/>
          <c:showPercent val="0"/>
          <c:showBubbleSize val="0"/>
        </c:dLbls>
        <c:gapWidth val="0"/>
        <c:axId val="1050088896"/>
        <c:axId val="1"/>
      </c:barChart>
      <c:catAx>
        <c:axId val="1050088896"/>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500888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5225657768388698"/>
          <c:y val="0.15833333333333305"/>
          <c:w val="0.68669982715575228"/>
          <c:h val="0.64123496281714798"/>
        </c:manualLayout>
      </c:layout>
      <c:barChart>
        <c:barDir val="col"/>
        <c:grouping val="clustered"/>
        <c:varyColors val="1"/>
        <c:ser>
          <c:idx val="0"/>
          <c:order val="0"/>
          <c:tx>
            <c:strRef>
              <c:f>'Data Reduction Engine'!$Z$5</c:f>
              <c:strCache>
                <c:ptCount val="1"/>
                <c:pt idx="0">
                  <c:v>z13</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2BFF8"/>
                  </a:gs>
                  <a:gs pos="100000">
                    <a:srgbClr val="3670B6"/>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CDB6-C542-B0DA-09A972A30C61}"/>
              </c:ext>
            </c:extLst>
          </c:dPt>
          <c:dPt>
            <c:idx val="1"/>
            <c:invertIfNegative val="0"/>
            <c:bubble3D val="0"/>
            <c:spPr>
              <a:gradFill rotWithShape="0">
                <a:gsLst>
                  <a:gs pos="0">
                    <a:srgbClr val="FAA1A0"/>
                  </a:gs>
                  <a:gs pos="100000">
                    <a:srgbClr val="B93734"/>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CDB6-C542-B0DA-09A972A30C61}"/>
              </c:ext>
            </c:extLst>
          </c:dPt>
          <c:dPt>
            <c:idx val="2"/>
            <c:invertIfNegative val="0"/>
            <c:bubble3D val="0"/>
            <c:spPr>
              <a:gradFill rotWithShape="0">
                <a:gsLst>
                  <a:gs pos="0">
                    <a:srgbClr val="D4F4A6"/>
                  </a:gs>
                  <a:gs pos="100000">
                    <a:srgbClr val="8DB241"/>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CDB6-C542-B0DA-09A972A30C61}"/>
              </c:ext>
            </c:extLst>
          </c:dPt>
          <c:dPt>
            <c:idx val="3"/>
            <c:invertIfNegative val="0"/>
            <c:bubble3D val="0"/>
            <c:spPr>
              <a:gradFill rotWithShape="0">
                <a:gsLst>
                  <a:gs pos="0">
                    <a:srgbClr val="C5B3E2"/>
                  </a:gs>
                  <a:gs pos="100000">
                    <a:srgbClr val="704F97"/>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CDB6-C542-B0DA-09A972A30C61}"/>
              </c:ext>
            </c:extLst>
          </c:dPt>
          <c:dPt>
            <c:idx val="4"/>
            <c:invertIfNegative val="0"/>
            <c:bubble3D val="0"/>
            <c:spPr>
              <a:gradFill rotWithShape="0">
                <a:gsLst>
                  <a:gs pos="0">
                    <a:srgbClr val="9DE2FF"/>
                  </a:gs>
                  <a:gs pos="100000">
                    <a:srgbClr val="31A1C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CDB6-C542-B0DA-09A972A30C61}"/>
              </c:ext>
            </c:extLst>
          </c:dPt>
          <c:dPt>
            <c:idx val="5"/>
            <c:invertIfNegative val="0"/>
            <c:bubble3D val="0"/>
            <c:spPr>
              <a:gradFill rotWithShape="0">
                <a:gsLst>
                  <a:gs pos="0">
                    <a:srgbClr val="FFB885"/>
                  </a:gs>
                  <a:gs pos="100000">
                    <a:srgbClr val="F28225"/>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CDB6-C542-B0DA-09A972A30C61}"/>
              </c:ext>
            </c:extLst>
          </c:dPt>
          <c:dPt>
            <c:idx val="6"/>
            <c:invertIfNegative val="0"/>
            <c:bubble3D val="0"/>
            <c:spPr>
              <a:gradFill rotWithShape="0">
                <a:gsLst>
                  <a:gs pos="0">
                    <a:srgbClr val="B6D1FF"/>
                  </a:gs>
                  <a:gs pos="100000">
                    <a:srgbClr val="8AA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6-CDB6-C542-B0DA-09A972A30C61}"/>
              </c:ext>
            </c:extLst>
          </c:dPt>
          <c:dPt>
            <c:idx val="7"/>
            <c:invertIfNegative val="0"/>
            <c:bubble3D val="0"/>
            <c:spPr>
              <a:gradFill rotWithShape="0">
                <a:gsLst>
                  <a:gs pos="0">
                    <a:srgbClr val="FFB6B4"/>
                  </a:gs>
                  <a:gs pos="100000">
                    <a:srgbClr val="DA8A8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CDB6-C542-B0DA-09A972A30C61}"/>
              </c:ext>
            </c:extLst>
          </c:dPt>
          <c:dPt>
            <c:idx val="8"/>
            <c:invertIfNegative val="0"/>
            <c:bubble3D val="0"/>
            <c:spPr>
              <a:gradFill rotWithShape="0">
                <a:gsLst>
                  <a:gs pos="0">
                    <a:srgbClr val="E4FFBA"/>
                  </a:gs>
                  <a:gs pos="100000">
                    <a:srgbClr val="BBD68E"/>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CDB6-C542-B0DA-09A972A30C61}"/>
              </c:ext>
            </c:extLst>
          </c:dPt>
          <c:dPt>
            <c:idx val="9"/>
            <c:invertIfNegative val="0"/>
            <c:bubble3D val="0"/>
            <c:spPr>
              <a:gradFill rotWithShape="0">
                <a:gsLst>
                  <a:gs pos="0">
                    <a:srgbClr val="D6C5F1"/>
                  </a:gs>
                  <a:gs pos="100000">
                    <a:srgbClr val="A896C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CDB6-C542-B0DA-09A972A30C61}"/>
              </c:ext>
            </c:extLst>
          </c:dPt>
          <c:dPt>
            <c:idx val="10"/>
            <c:invertIfNegative val="0"/>
            <c:bubble3D val="0"/>
            <c:spPr>
              <a:gradFill rotWithShape="0">
                <a:gsLst>
                  <a:gs pos="0">
                    <a:srgbClr val="B2F1FF"/>
                  </a:gs>
                  <a:gs pos="100000">
                    <a:srgbClr val="87C8DF"/>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CDB6-C542-B0DA-09A972A30C61}"/>
              </c:ext>
            </c:extLst>
          </c:dPt>
          <c:cat>
            <c:strRef>
              <c:f>'Data Reduction Engine'!$B$864:$B$874</c:f>
              <c:strCache>
                <c:ptCount val="11"/>
                <c:pt idx="0">
                  <c:v>(206/205)m</c:v>
                </c:pt>
                <c:pt idx="1">
                  <c:v>(207/206)m</c:v>
                </c:pt>
                <c:pt idx="2">
                  <c:v>(204/206)m</c:v>
                </c:pt>
                <c:pt idx="3">
                  <c:v>FPb</c:v>
                </c:pt>
                <c:pt idx="4">
                  <c:v>206Pb blank</c:v>
                </c:pt>
                <c:pt idx="5">
                  <c:v>(206/204)b</c:v>
                </c:pt>
                <c:pt idx="6">
                  <c:v>(207/206)c</c:v>
                </c:pt>
                <c:pt idx="7">
                  <c:v>(206/204)c</c:v>
                </c:pt>
                <c:pt idx="8">
                  <c:v>(206/205)t</c:v>
                </c:pt>
                <c:pt idx="9">
                  <c:v>(207/206)t</c:v>
                </c:pt>
                <c:pt idx="10">
                  <c:v>(204/205)t</c:v>
                </c:pt>
              </c:strCache>
            </c:strRef>
          </c:cat>
          <c:val>
            <c:numRef>
              <c:f>'Data Reduction Engine'!$Z$864:$Z$874</c:f>
              <c:numCache>
                <c:formatCode>0.00%</c:formatCode>
                <c:ptCount val="11"/>
                <c:pt idx="0">
                  <c:v>7.1090341222967578E-5</c:v>
                </c:pt>
                <c:pt idx="1">
                  <c:v>0.21888668794318725</c:v>
                </c:pt>
                <c:pt idx="2">
                  <c:v>0.16597134819411605</c:v>
                </c:pt>
                <c:pt idx="3">
                  <c:v>2.6033233697125716E-3</c:v>
                </c:pt>
                <c:pt idx="4">
                  <c:v>1.7284184059333081E-2</c:v>
                </c:pt>
                <c:pt idx="5">
                  <c:v>0.59230738590454979</c:v>
                </c:pt>
                <c:pt idx="6">
                  <c:v>1.7825400210314107E-5</c:v>
                </c:pt>
                <c:pt idx="7">
                  <c:v>9.5842145441184786E-7</c:v>
                </c:pt>
                <c:pt idx="8">
                  <c:v>9.9999999999999995E-7</c:v>
                </c:pt>
                <c:pt idx="9">
                  <c:v>7.3150556713116873E-12</c:v>
                </c:pt>
                <c:pt idx="10">
                  <c:v>2.8571963588984207E-3</c:v>
                </c:pt>
              </c:numCache>
            </c:numRef>
          </c:val>
          <c:extLst>
            <c:ext xmlns:c16="http://schemas.microsoft.com/office/drawing/2014/chart" uri="{C3380CC4-5D6E-409C-BE32-E72D297353CC}">
              <c16:uniqueId val="{0000000B-CDB6-C542-B0DA-09A972A30C61}"/>
            </c:ext>
          </c:extLst>
        </c:ser>
        <c:dLbls>
          <c:showLegendKey val="0"/>
          <c:showVal val="0"/>
          <c:showCatName val="0"/>
          <c:showSerName val="0"/>
          <c:showPercent val="0"/>
          <c:showBubbleSize val="0"/>
        </c:dLbls>
        <c:gapWidth val="0"/>
        <c:axId val="1051470144"/>
        <c:axId val="1"/>
      </c:barChart>
      <c:catAx>
        <c:axId val="1051470144"/>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514701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8876896485500305"/>
          <c:y val="0.15778546712802805"/>
          <c:w val="0.76535740349529513"/>
          <c:h val="0.59972318339100306"/>
        </c:manualLayout>
      </c:layout>
      <c:barChart>
        <c:barDir val="col"/>
        <c:grouping val="clustered"/>
        <c:varyColors val="1"/>
        <c:ser>
          <c:idx val="0"/>
          <c:order val="0"/>
          <c:tx>
            <c:strRef>
              <c:f>'Data Reduction Engine'!$AA$5</c:f>
              <c:strCache>
                <c:ptCount val="1"/>
                <c:pt idx="0">
                  <c:v>z1</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5BFF0"/>
                  </a:gs>
                  <a:gs pos="100000">
                    <a:srgbClr val="3268A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941E-FF4D-9F35-BE6C19434439}"/>
              </c:ext>
            </c:extLst>
          </c:dPt>
          <c:dPt>
            <c:idx val="1"/>
            <c:invertIfNegative val="0"/>
            <c:bubble3D val="0"/>
            <c:spPr>
              <a:gradFill rotWithShape="0">
                <a:gsLst>
                  <a:gs pos="0">
                    <a:srgbClr val="F2A5A4"/>
                  </a:gs>
                  <a:gs pos="100000">
                    <a:srgbClr val="AD333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941E-FF4D-9F35-BE6C19434439}"/>
              </c:ext>
            </c:extLst>
          </c:dPt>
          <c:dPt>
            <c:idx val="2"/>
            <c:invertIfNegative val="0"/>
            <c:bubble3D val="0"/>
            <c:spPr>
              <a:gradFill rotWithShape="0">
                <a:gsLst>
                  <a:gs pos="0">
                    <a:srgbClr val="D1EDA8"/>
                  </a:gs>
                  <a:gs pos="100000">
                    <a:srgbClr val="83A6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941E-FF4D-9F35-BE6C19434439}"/>
              </c:ext>
            </c:extLst>
          </c:dPt>
          <c:dPt>
            <c:idx val="3"/>
            <c:invertIfNegative val="0"/>
            <c:bubble3D val="0"/>
            <c:spPr>
              <a:gradFill rotWithShape="0">
                <a:gsLst>
                  <a:gs pos="0">
                    <a:srgbClr val="C4B4DD"/>
                  </a:gs>
                  <a:gs pos="100000">
                    <a:srgbClr val="68498D"/>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941E-FF4D-9F35-BE6C19434439}"/>
              </c:ext>
            </c:extLst>
          </c:dPt>
          <c:dPt>
            <c:idx val="4"/>
            <c:invertIfNegative val="0"/>
            <c:bubble3D val="0"/>
            <c:spPr>
              <a:gradFill rotWithShape="0">
                <a:gsLst>
                  <a:gs pos="0">
                    <a:srgbClr val="A1DDF6"/>
                  </a:gs>
                  <a:gs pos="100000">
                    <a:srgbClr val="2D96B3"/>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941E-FF4D-9F35-BE6C19434439}"/>
              </c:ext>
            </c:extLst>
          </c:dPt>
          <c:dPt>
            <c:idx val="5"/>
            <c:invertIfNegative val="0"/>
            <c:bubble3D val="0"/>
            <c:spPr>
              <a:gradFill rotWithShape="0">
                <a:gsLst>
                  <a:gs pos="0">
                    <a:srgbClr val="FFB88C"/>
                  </a:gs>
                  <a:gs pos="100000">
                    <a:srgbClr val="E2792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941E-FF4D-9F35-BE6C19434439}"/>
              </c:ext>
            </c:extLst>
          </c:dPt>
          <c:dPt>
            <c:idx val="6"/>
            <c:invertIfNegative val="0"/>
            <c:bubble3D val="0"/>
            <c:extLst>
              <c:ext xmlns:c16="http://schemas.microsoft.com/office/drawing/2014/chart" uri="{C3380CC4-5D6E-409C-BE32-E72D297353CC}">
                <c16:uniqueId val="{00000006-941E-FF4D-9F35-BE6C19434439}"/>
              </c:ext>
            </c:extLst>
          </c:dPt>
          <c:dPt>
            <c:idx val="7"/>
            <c:invertIfNegative val="0"/>
            <c:bubble3D val="0"/>
            <c:spPr>
              <a:gradFill rotWithShape="0">
                <a:gsLst>
                  <a:gs pos="0">
                    <a:srgbClr val="FF9A99"/>
                  </a:gs>
                  <a:gs pos="100000">
                    <a:srgbClr val="D140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941E-FF4D-9F35-BE6C19434439}"/>
              </c:ext>
            </c:extLst>
          </c:dPt>
          <c:dPt>
            <c:idx val="8"/>
            <c:invertIfNegative val="0"/>
            <c:bubble3D val="0"/>
            <c:spPr>
              <a:gradFill rotWithShape="0">
                <a:gsLst>
                  <a:gs pos="0">
                    <a:srgbClr val="DCFFA0"/>
                  </a:gs>
                  <a:gs pos="100000">
                    <a:srgbClr val="A0CA4A"/>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941E-FF4D-9F35-BE6C19434439}"/>
              </c:ext>
            </c:extLst>
          </c:dPt>
          <c:dPt>
            <c:idx val="9"/>
            <c:invertIfNegative val="0"/>
            <c:bubble3D val="0"/>
            <c:spPr>
              <a:gradFill rotWithShape="0">
                <a:gsLst>
                  <a:gs pos="0">
                    <a:srgbClr val="C8B0ED"/>
                  </a:gs>
                  <a:gs pos="100000">
                    <a:srgbClr val="7F5BA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941E-FF4D-9F35-BE6C19434439}"/>
              </c:ext>
            </c:extLst>
          </c:dPt>
          <c:dPt>
            <c:idx val="10"/>
            <c:invertIfNegative val="0"/>
            <c:bubble3D val="0"/>
            <c:spPr>
              <a:gradFill rotWithShape="0">
                <a:gsLst>
                  <a:gs pos="0">
                    <a:srgbClr val="95EEFF"/>
                  </a:gs>
                  <a:gs pos="100000">
                    <a:srgbClr val="39B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941E-FF4D-9F35-BE6C19434439}"/>
              </c:ext>
            </c:extLst>
          </c:dPt>
          <c:dPt>
            <c:idx val="11"/>
            <c:invertIfNegative val="0"/>
            <c:bubble3D val="0"/>
            <c:spPr>
              <a:gradFill rotWithShape="0">
                <a:gsLst>
                  <a:gs pos="0">
                    <a:srgbClr val="FFB977"/>
                  </a:gs>
                  <a:gs pos="100000">
                    <a:srgbClr val="FF932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B-941E-FF4D-9F35-BE6C19434439}"/>
              </c:ext>
            </c:extLst>
          </c:dPt>
          <c:cat>
            <c:strRef>
              <c:f>'Data Reduction Engine'!$B$838:$B$849</c:f>
              <c:strCache>
                <c:ptCount val="12"/>
                <c:pt idx="0">
                  <c:v>(206/205)m</c:v>
                </c:pt>
                <c:pt idx="1">
                  <c:v>(204/206)m</c:v>
                </c:pt>
                <c:pt idx="2">
                  <c:v>FPb</c:v>
                </c:pt>
                <c:pt idx="3">
                  <c:v>206Pb blank</c:v>
                </c:pt>
                <c:pt idx="4">
                  <c:v>(206/204)b</c:v>
                </c:pt>
                <c:pt idx="5">
                  <c:v>(206/204)c</c:v>
                </c:pt>
                <c:pt idx="6">
                  <c:v>(238/235)m</c:v>
                </c:pt>
                <c:pt idx="7">
                  <c:v>FU</c:v>
                </c:pt>
                <c:pt idx="8">
                  <c:v>238U blank</c:v>
                </c:pt>
                <c:pt idx="9">
                  <c:v>(Th/U)zircon</c:v>
                </c:pt>
                <c:pt idx="10">
                  <c:v>(Th/U)magma</c:v>
                </c:pt>
                <c:pt idx="11">
                  <c:v>(Th/U)initial</c:v>
                </c:pt>
              </c:strCache>
            </c:strRef>
          </c:cat>
          <c:val>
            <c:numRef>
              <c:f>'Data Reduction Engine'!$AA$838:$AA$849</c:f>
              <c:numCache>
                <c:formatCode>0.00%</c:formatCode>
                <c:ptCount val="12"/>
                <c:pt idx="0">
                  <c:v>0.23524655575772796</c:v>
                </c:pt>
                <c:pt idx="1">
                  <c:v>8.9325793614817701E-6</c:v>
                </c:pt>
                <c:pt idx="2">
                  <c:v>0.47288282564334427</c:v>
                </c:pt>
                <c:pt idx="3">
                  <c:v>7.8969082135084008E-6</c:v>
                </c:pt>
                <c:pt idx="4">
                  <c:v>5.7608721728433793E-6</c:v>
                </c:pt>
                <c:pt idx="5">
                  <c:v>1.8544673651079879E-5</c:v>
                </c:pt>
                <c:pt idx="6">
                  <c:v>3.5762790830509233E-3</c:v>
                </c:pt>
                <c:pt idx="7">
                  <c:v>0.28763776931603435</c:v>
                </c:pt>
                <c:pt idx="8">
                  <c:v>6.0744309141297955E-4</c:v>
                </c:pt>
                <c:pt idx="9">
                  <c:v>1.1538771083519242E-10</c:v>
                </c:pt>
                <c:pt idx="10">
                  <c:v>7.3320730667467976E-6</c:v>
                </c:pt>
                <c:pt idx="11">
                  <c:v>6.5988657600721189E-7</c:v>
                </c:pt>
              </c:numCache>
            </c:numRef>
          </c:val>
          <c:extLst>
            <c:ext xmlns:c16="http://schemas.microsoft.com/office/drawing/2014/chart" uri="{C3380CC4-5D6E-409C-BE32-E72D297353CC}">
              <c16:uniqueId val="{0000000C-941E-FF4D-9F35-BE6C19434439}"/>
            </c:ext>
          </c:extLst>
        </c:ser>
        <c:dLbls>
          <c:showLegendKey val="0"/>
          <c:showVal val="0"/>
          <c:showCatName val="0"/>
          <c:showSerName val="0"/>
          <c:showPercent val="0"/>
          <c:showBubbleSize val="0"/>
        </c:dLbls>
        <c:gapWidth val="0"/>
        <c:axId val="1054411488"/>
        <c:axId val="1"/>
      </c:barChart>
      <c:catAx>
        <c:axId val="1054411488"/>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544114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8876896485500305"/>
          <c:y val="0.15778546712802805"/>
          <c:w val="0.76535740349529513"/>
          <c:h val="0.59972318339100306"/>
        </c:manualLayout>
      </c:layout>
      <c:barChart>
        <c:barDir val="col"/>
        <c:grouping val="clustered"/>
        <c:varyColors val="1"/>
        <c:ser>
          <c:idx val="0"/>
          <c:order val="0"/>
          <c:tx>
            <c:strRef>
              <c:f>'Data Reduction Engine'!$E$5</c:f>
              <c:strCache>
                <c:ptCount val="1"/>
                <c:pt idx="0">
                  <c:v>15WZ1-2 t3a</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5BFF0"/>
                  </a:gs>
                  <a:gs pos="100000">
                    <a:srgbClr val="3268A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99AD-3949-9FAD-0076817E273B}"/>
              </c:ext>
            </c:extLst>
          </c:dPt>
          <c:dPt>
            <c:idx val="1"/>
            <c:invertIfNegative val="0"/>
            <c:bubble3D val="0"/>
            <c:spPr>
              <a:gradFill rotWithShape="0">
                <a:gsLst>
                  <a:gs pos="0">
                    <a:srgbClr val="F2A5A4"/>
                  </a:gs>
                  <a:gs pos="100000">
                    <a:srgbClr val="AD333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99AD-3949-9FAD-0076817E273B}"/>
              </c:ext>
            </c:extLst>
          </c:dPt>
          <c:dPt>
            <c:idx val="2"/>
            <c:invertIfNegative val="0"/>
            <c:bubble3D val="0"/>
            <c:spPr>
              <a:gradFill rotWithShape="0">
                <a:gsLst>
                  <a:gs pos="0">
                    <a:srgbClr val="D1EDA8"/>
                  </a:gs>
                  <a:gs pos="100000">
                    <a:srgbClr val="83A6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99AD-3949-9FAD-0076817E273B}"/>
              </c:ext>
            </c:extLst>
          </c:dPt>
          <c:dPt>
            <c:idx val="3"/>
            <c:invertIfNegative val="0"/>
            <c:bubble3D val="0"/>
            <c:spPr>
              <a:gradFill rotWithShape="0">
                <a:gsLst>
                  <a:gs pos="0">
                    <a:srgbClr val="C4B4DD"/>
                  </a:gs>
                  <a:gs pos="100000">
                    <a:srgbClr val="68498D"/>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99AD-3949-9FAD-0076817E273B}"/>
              </c:ext>
            </c:extLst>
          </c:dPt>
          <c:dPt>
            <c:idx val="4"/>
            <c:invertIfNegative val="0"/>
            <c:bubble3D val="0"/>
            <c:spPr>
              <a:gradFill rotWithShape="0">
                <a:gsLst>
                  <a:gs pos="0">
                    <a:srgbClr val="A1DDF6"/>
                  </a:gs>
                  <a:gs pos="100000">
                    <a:srgbClr val="2D96B3"/>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99AD-3949-9FAD-0076817E273B}"/>
              </c:ext>
            </c:extLst>
          </c:dPt>
          <c:dPt>
            <c:idx val="5"/>
            <c:invertIfNegative val="0"/>
            <c:bubble3D val="0"/>
            <c:spPr>
              <a:gradFill rotWithShape="0">
                <a:gsLst>
                  <a:gs pos="0">
                    <a:srgbClr val="FFB88C"/>
                  </a:gs>
                  <a:gs pos="100000">
                    <a:srgbClr val="E2792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99AD-3949-9FAD-0076817E273B}"/>
              </c:ext>
            </c:extLst>
          </c:dPt>
          <c:dPt>
            <c:idx val="6"/>
            <c:invertIfNegative val="0"/>
            <c:bubble3D val="0"/>
            <c:extLst>
              <c:ext xmlns:c16="http://schemas.microsoft.com/office/drawing/2014/chart" uri="{C3380CC4-5D6E-409C-BE32-E72D297353CC}">
                <c16:uniqueId val="{00000006-99AD-3949-9FAD-0076817E273B}"/>
              </c:ext>
            </c:extLst>
          </c:dPt>
          <c:dPt>
            <c:idx val="7"/>
            <c:invertIfNegative val="0"/>
            <c:bubble3D val="0"/>
            <c:spPr>
              <a:gradFill rotWithShape="0">
                <a:gsLst>
                  <a:gs pos="0">
                    <a:srgbClr val="FF9A99"/>
                  </a:gs>
                  <a:gs pos="100000">
                    <a:srgbClr val="D140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99AD-3949-9FAD-0076817E273B}"/>
              </c:ext>
            </c:extLst>
          </c:dPt>
          <c:dPt>
            <c:idx val="8"/>
            <c:invertIfNegative val="0"/>
            <c:bubble3D val="0"/>
            <c:spPr>
              <a:gradFill rotWithShape="0">
                <a:gsLst>
                  <a:gs pos="0">
                    <a:srgbClr val="DCFFA0"/>
                  </a:gs>
                  <a:gs pos="100000">
                    <a:srgbClr val="A0CA4A"/>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99AD-3949-9FAD-0076817E273B}"/>
              </c:ext>
            </c:extLst>
          </c:dPt>
          <c:dPt>
            <c:idx val="9"/>
            <c:invertIfNegative val="0"/>
            <c:bubble3D val="0"/>
            <c:spPr>
              <a:gradFill rotWithShape="0">
                <a:gsLst>
                  <a:gs pos="0">
                    <a:srgbClr val="C8B0ED"/>
                  </a:gs>
                  <a:gs pos="100000">
                    <a:srgbClr val="7F5BA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99AD-3949-9FAD-0076817E273B}"/>
              </c:ext>
            </c:extLst>
          </c:dPt>
          <c:dPt>
            <c:idx val="10"/>
            <c:invertIfNegative val="0"/>
            <c:bubble3D val="0"/>
            <c:spPr>
              <a:gradFill rotWithShape="0">
                <a:gsLst>
                  <a:gs pos="0">
                    <a:srgbClr val="95EEFF"/>
                  </a:gs>
                  <a:gs pos="100000">
                    <a:srgbClr val="39B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99AD-3949-9FAD-0076817E273B}"/>
              </c:ext>
            </c:extLst>
          </c:dPt>
          <c:dPt>
            <c:idx val="11"/>
            <c:invertIfNegative val="0"/>
            <c:bubble3D val="0"/>
            <c:spPr>
              <a:gradFill rotWithShape="0">
                <a:gsLst>
                  <a:gs pos="0">
                    <a:srgbClr val="FFB977"/>
                  </a:gs>
                  <a:gs pos="100000">
                    <a:srgbClr val="FF932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B-99AD-3949-9FAD-0076817E273B}"/>
              </c:ext>
            </c:extLst>
          </c:dPt>
          <c:cat>
            <c:strRef>
              <c:f>'Data Reduction Engine'!$B$838:$B$849</c:f>
              <c:strCache>
                <c:ptCount val="12"/>
                <c:pt idx="0">
                  <c:v>(206/205)m</c:v>
                </c:pt>
                <c:pt idx="1">
                  <c:v>(204/206)m</c:v>
                </c:pt>
                <c:pt idx="2">
                  <c:v>FPb</c:v>
                </c:pt>
                <c:pt idx="3">
                  <c:v>206Pb blank</c:v>
                </c:pt>
                <c:pt idx="4">
                  <c:v>(206/204)b</c:v>
                </c:pt>
                <c:pt idx="5">
                  <c:v>(206/204)c</c:v>
                </c:pt>
                <c:pt idx="6">
                  <c:v>(238/235)m</c:v>
                </c:pt>
                <c:pt idx="7">
                  <c:v>FU</c:v>
                </c:pt>
                <c:pt idx="8">
                  <c:v>238U blank</c:v>
                </c:pt>
                <c:pt idx="9">
                  <c:v>(Th/U)zircon</c:v>
                </c:pt>
                <c:pt idx="10">
                  <c:v>(Th/U)magma</c:v>
                </c:pt>
                <c:pt idx="11">
                  <c:v>(Th/U)initial</c:v>
                </c:pt>
              </c:strCache>
            </c:strRef>
          </c:cat>
          <c:val>
            <c:numRef>
              <c:f>'Data Reduction Engine'!$E$838:$E$849</c:f>
              <c:numCache>
                <c:formatCode>0.00%</c:formatCode>
                <c:ptCount val="12"/>
                <c:pt idx="0">
                  <c:v>1.2966395193811248E-4</c:v>
                </c:pt>
                <c:pt idx="1">
                  <c:v>3.3854637580990957E-2</c:v>
                </c:pt>
                <c:pt idx="2">
                  <c:v>1.5006657552092505E-2</c:v>
                </c:pt>
                <c:pt idx="3">
                  <c:v>9.2605501974265658E-3</c:v>
                </c:pt>
                <c:pt idx="4">
                  <c:v>6.7556624054862088E-3</c:v>
                </c:pt>
                <c:pt idx="5">
                  <c:v>0.93346983122715654</c:v>
                </c:pt>
                <c:pt idx="6">
                  <c:v>8.8216150378227383E-4</c:v>
                </c:pt>
                <c:pt idx="7">
                  <c:v>6.321758923107737E-5</c:v>
                </c:pt>
                <c:pt idx="8">
                  <c:v>5.6931090177159344E-4</c:v>
                </c:pt>
                <c:pt idx="9">
                  <c:v>7.7770320637744602E-6</c:v>
                </c:pt>
                <c:pt idx="10">
                  <c:v>4.8629179843088005E-7</c:v>
                </c:pt>
                <c:pt idx="11">
                  <c:v>4.37662618587792E-8</c:v>
                </c:pt>
              </c:numCache>
            </c:numRef>
          </c:val>
          <c:extLst>
            <c:ext xmlns:c16="http://schemas.microsoft.com/office/drawing/2014/chart" uri="{C3380CC4-5D6E-409C-BE32-E72D297353CC}">
              <c16:uniqueId val="{0000000C-99AD-3949-9FAD-0076817E273B}"/>
            </c:ext>
          </c:extLst>
        </c:ser>
        <c:dLbls>
          <c:showLegendKey val="0"/>
          <c:showVal val="0"/>
          <c:showCatName val="0"/>
          <c:showSerName val="0"/>
          <c:showPercent val="0"/>
          <c:showBubbleSize val="0"/>
        </c:dLbls>
        <c:gapWidth val="0"/>
        <c:axId val="1051881888"/>
        <c:axId val="1"/>
      </c:barChart>
      <c:catAx>
        <c:axId val="1051881888"/>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518818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5225657768388698"/>
          <c:y val="0.15833333333333305"/>
          <c:w val="0.68669982715575228"/>
          <c:h val="0.64123496281714798"/>
        </c:manualLayout>
      </c:layout>
      <c:barChart>
        <c:barDir val="col"/>
        <c:grouping val="clustered"/>
        <c:varyColors val="1"/>
        <c:ser>
          <c:idx val="0"/>
          <c:order val="0"/>
          <c:tx>
            <c:strRef>
              <c:f>'Data Reduction Engine'!$AA$5</c:f>
              <c:strCache>
                <c:ptCount val="1"/>
                <c:pt idx="0">
                  <c:v>z1</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2BFF8"/>
                  </a:gs>
                  <a:gs pos="100000">
                    <a:srgbClr val="3670B6"/>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5A40-1F40-B8B5-B42A2EE8D03C}"/>
              </c:ext>
            </c:extLst>
          </c:dPt>
          <c:dPt>
            <c:idx val="1"/>
            <c:invertIfNegative val="0"/>
            <c:bubble3D val="0"/>
            <c:spPr>
              <a:gradFill rotWithShape="0">
                <a:gsLst>
                  <a:gs pos="0">
                    <a:srgbClr val="FAA1A0"/>
                  </a:gs>
                  <a:gs pos="100000">
                    <a:srgbClr val="B93734"/>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5A40-1F40-B8B5-B42A2EE8D03C}"/>
              </c:ext>
            </c:extLst>
          </c:dPt>
          <c:dPt>
            <c:idx val="2"/>
            <c:invertIfNegative val="0"/>
            <c:bubble3D val="0"/>
            <c:spPr>
              <a:gradFill rotWithShape="0">
                <a:gsLst>
                  <a:gs pos="0">
                    <a:srgbClr val="D4F4A6"/>
                  </a:gs>
                  <a:gs pos="100000">
                    <a:srgbClr val="8DB241"/>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5A40-1F40-B8B5-B42A2EE8D03C}"/>
              </c:ext>
            </c:extLst>
          </c:dPt>
          <c:dPt>
            <c:idx val="3"/>
            <c:invertIfNegative val="0"/>
            <c:bubble3D val="0"/>
            <c:spPr>
              <a:gradFill rotWithShape="0">
                <a:gsLst>
                  <a:gs pos="0">
                    <a:srgbClr val="C5B3E2"/>
                  </a:gs>
                  <a:gs pos="100000">
                    <a:srgbClr val="704F97"/>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5A40-1F40-B8B5-B42A2EE8D03C}"/>
              </c:ext>
            </c:extLst>
          </c:dPt>
          <c:dPt>
            <c:idx val="4"/>
            <c:invertIfNegative val="0"/>
            <c:bubble3D val="0"/>
            <c:spPr>
              <a:gradFill rotWithShape="0">
                <a:gsLst>
                  <a:gs pos="0">
                    <a:srgbClr val="9DE2FF"/>
                  </a:gs>
                  <a:gs pos="100000">
                    <a:srgbClr val="31A1C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5A40-1F40-B8B5-B42A2EE8D03C}"/>
              </c:ext>
            </c:extLst>
          </c:dPt>
          <c:dPt>
            <c:idx val="5"/>
            <c:invertIfNegative val="0"/>
            <c:bubble3D val="0"/>
            <c:spPr>
              <a:gradFill rotWithShape="0">
                <a:gsLst>
                  <a:gs pos="0">
                    <a:srgbClr val="FFB885"/>
                  </a:gs>
                  <a:gs pos="100000">
                    <a:srgbClr val="F28225"/>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5A40-1F40-B8B5-B42A2EE8D03C}"/>
              </c:ext>
            </c:extLst>
          </c:dPt>
          <c:dPt>
            <c:idx val="6"/>
            <c:invertIfNegative val="0"/>
            <c:bubble3D val="0"/>
            <c:spPr>
              <a:gradFill rotWithShape="0">
                <a:gsLst>
                  <a:gs pos="0">
                    <a:srgbClr val="B6D1FF"/>
                  </a:gs>
                  <a:gs pos="100000">
                    <a:srgbClr val="8AA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6-5A40-1F40-B8B5-B42A2EE8D03C}"/>
              </c:ext>
            </c:extLst>
          </c:dPt>
          <c:dPt>
            <c:idx val="7"/>
            <c:invertIfNegative val="0"/>
            <c:bubble3D val="0"/>
            <c:spPr>
              <a:gradFill rotWithShape="0">
                <a:gsLst>
                  <a:gs pos="0">
                    <a:srgbClr val="FFB6B4"/>
                  </a:gs>
                  <a:gs pos="100000">
                    <a:srgbClr val="DA8A8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5A40-1F40-B8B5-B42A2EE8D03C}"/>
              </c:ext>
            </c:extLst>
          </c:dPt>
          <c:dPt>
            <c:idx val="8"/>
            <c:invertIfNegative val="0"/>
            <c:bubble3D val="0"/>
            <c:spPr>
              <a:gradFill rotWithShape="0">
                <a:gsLst>
                  <a:gs pos="0">
                    <a:srgbClr val="E4FFBA"/>
                  </a:gs>
                  <a:gs pos="100000">
                    <a:srgbClr val="BBD68E"/>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5A40-1F40-B8B5-B42A2EE8D03C}"/>
              </c:ext>
            </c:extLst>
          </c:dPt>
          <c:dPt>
            <c:idx val="9"/>
            <c:invertIfNegative val="0"/>
            <c:bubble3D val="0"/>
            <c:spPr>
              <a:gradFill rotWithShape="0">
                <a:gsLst>
                  <a:gs pos="0">
                    <a:srgbClr val="D6C5F1"/>
                  </a:gs>
                  <a:gs pos="100000">
                    <a:srgbClr val="A896C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5A40-1F40-B8B5-B42A2EE8D03C}"/>
              </c:ext>
            </c:extLst>
          </c:dPt>
          <c:dPt>
            <c:idx val="10"/>
            <c:invertIfNegative val="0"/>
            <c:bubble3D val="0"/>
            <c:spPr>
              <a:gradFill rotWithShape="0">
                <a:gsLst>
                  <a:gs pos="0">
                    <a:srgbClr val="B2F1FF"/>
                  </a:gs>
                  <a:gs pos="100000">
                    <a:srgbClr val="87C8DF"/>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5A40-1F40-B8B5-B42A2EE8D03C}"/>
              </c:ext>
            </c:extLst>
          </c:dPt>
          <c:cat>
            <c:strRef>
              <c:f>'Data Reduction Engine'!$B$864:$B$874</c:f>
              <c:strCache>
                <c:ptCount val="11"/>
                <c:pt idx="0">
                  <c:v>(206/205)m</c:v>
                </c:pt>
                <c:pt idx="1">
                  <c:v>(207/206)m</c:v>
                </c:pt>
                <c:pt idx="2">
                  <c:v>(204/206)m</c:v>
                </c:pt>
                <c:pt idx="3">
                  <c:v>FPb</c:v>
                </c:pt>
                <c:pt idx="4">
                  <c:v>206Pb blank</c:v>
                </c:pt>
                <c:pt idx="5">
                  <c:v>(206/204)b</c:v>
                </c:pt>
                <c:pt idx="6">
                  <c:v>(207/206)c</c:v>
                </c:pt>
                <c:pt idx="7">
                  <c:v>(206/204)c</c:v>
                </c:pt>
                <c:pt idx="8">
                  <c:v>(206/205)t</c:v>
                </c:pt>
                <c:pt idx="9">
                  <c:v>(207/206)t</c:v>
                </c:pt>
                <c:pt idx="10">
                  <c:v>(204/205)t</c:v>
                </c:pt>
              </c:strCache>
            </c:strRef>
          </c:cat>
          <c:val>
            <c:numRef>
              <c:f>'Data Reduction Engine'!$AA$864:$AA$874</c:f>
              <c:numCache>
                <c:formatCode>0.00%</c:formatCode>
                <c:ptCount val="11"/>
                <c:pt idx="0">
                  <c:v>2.269404504635326E-9</c:v>
                </c:pt>
                <c:pt idx="1">
                  <c:v>1.4737620504704562E-7</c:v>
                </c:pt>
                <c:pt idx="2">
                  <c:v>2.8234338268462992E-4</c:v>
                </c:pt>
                <c:pt idx="3">
                  <c:v>0.99943874087752449</c:v>
                </c:pt>
                <c:pt idx="4">
                  <c:v>6.0580815462702318E-8</c:v>
                </c:pt>
                <c:pt idx="5">
                  <c:v>1.8209120464220948E-4</c:v>
                </c:pt>
                <c:pt idx="6">
                  <c:v>5.1709405287526002E-5</c:v>
                </c:pt>
                <c:pt idx="7">
                  <c:v>3.8989471566069676E-5</c:v>
                </c:pt>
                <c:pt idx="8">
                  <c:v>2.3934632865089098E-7</c:v>
                </c:pt>
                <c:pt idx="9">
                  <c:v>6.7414718870327486E-13</c:v>
                </c:pt>
                <c:pt idx="10">
                  <c:v>5.6760848673603405E-6</c:v>
                </c:pt>
              </c:numCache>
            </c:numRef>
          </c:val>
          <c:extLst>
            <c:ext xmlns:c16="http://schemas.microsoft.com/office/drawing/2014/chart" uri="{C3380CC4-5D6E-409C-BE32-E72D297353CC}">
              <c16:uniqueId val="{0000000B-5A40-1F40-B8B5-B42A2EE8D03C}"/>
            </c:ext>
          </c:extLst>
        </c:ser>
        <c:dLbls>
          <c:showLegendKey val="0"/>
          <c:showVal val="0"/>
          <c:showCatName val="0"/>
          <c:showSerName val="0"/>
          <c:showPercent val="0"/>
          <c:showBubbleSize val="0"/>
        </c:dLbls>
        <c:gapWidth val="0"/>
        <c:axId val="1054099872"/>
        <c:axId val="1"/>
      </c:barChart>
      <c:catAx>
        <c:axId val="1054099872"/>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540998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8876896485500305"/>
          <c:y val="0.15778546712802805"/>
          <c:w val="0.76535740349529513"/>
          <c:h val="0.59972318339100306"/>
        </c:manualLayout>
      </c:layout>
      <c:barChart>
        <c:barDir val="col"/>
        <c:grouping val="clustered"/>
        <c:varyColors val="1"/>
        <c:ser>
          <c:idx val="0"/>
          <c:order val="0"/>
          <c:tx>
            <c:strRef>
              <c:f>'Data Reduction Engine'!$AB$5</c:f>
              <c:strCache>
                <c:ptCount val="1"/>
                <c:pt idx="0">
                  <c:v>z2</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5BFF0"/>
                  </a:gs>
                  <a:gs pos="100000">
                    <a:srgbClr val="3268A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5689-A046-A370-DF8CBB874341}"/>
              </c:ext>
            </c:extLst>
          </c:dPt>
          <c:dPt>
            <c:idx val="1"/>
            <c:invertIfNegative val="0"/>
            <c:bubble3D val="0"/>
            <c:spPr>
              <a:gradFill rotWithShape="0">
                <a:gsLst>
                  <a:gs pos="0">
                    <a:srgbClr val="F2A5A4"/>
                  </a:gs>
                  <a:gs pos="100000">
                    <a:srgbClr val="AD333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5689-A046-A370-DF8CBB874341}"/>
              </c:ext>
            </c:extLst>
          </c:dPt>
          <c:dPt>
            <c:idx val="2"/>
            <c:invertIfNegative val="0"/>
            <c:bubble3D val="0"/>
            <c:spPr>
              <a:gradFill rotWithShape="0">
                <a:gsLst>
                  <a:gs pos="0">
                    <a:srgbClr val="D1EDA8"/>
                  </a:gs>
                  <a:gs pos="100000">
                    <a:srgbClr val="83A6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5689-A046-A370-DF8CBB874341}"/>
              </c:ext>
            </c:extLst>
          </c:dPt>
          <c:dPt>
            <c:idx val="3"/>
            <c:invertIfNegative val="0"/>
            <c:bubble3D val="0"/>
            <c:spPr>
              <a:gradFill rotWithShape="0">
                <a:gsLst>
                  <a:gs pos="0">
                    <a:srgbClr val="C4B4DD"/>
                  </a:gs>
                  <a:gs pos="100000">
                    <a:srgbClr val="68498D"/>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5689-A046-A370-DF8CBB874341}"/>
              </c:ext>
            </c:extLst>
          </c:dPt>
          <c:dPt>
            <c:idx val="4"/>
            <c:invertIfNegative val="0"/>
            <c:bubble3D val="0"/>
            <c:spPr>
              <a:gradFill rotWithShape="0">
                <a:gsLst>
                  <a:gs pos="0">
                    <a:srgbClr val="A1DDF6"/>
                  </a:gs>
                  <a:gs pos="100000">
                    <a:srgbClr val="2D96B3"/>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5689-A046-A370-DF8CBB874341}"/>
              </c:ext>
            </c:extLst>
          </c:dPt>
          <c:dPt>
            <c:idx val="5"/>
            <c:invertIfNegative val="0"/>
            <c:bubble3D val="0"/>
            <c:spPr>
              <a:gradFill rotWithShape="0">
                <a:gsLst>
                  <a:gs pos="0">
                    <a:srgbClr val="FFB88C"/>
                  </a:gs>
                  <a:gs pos="100000">
                    <a:srgbClr val="E2792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5689-A046-A370-DF8CBB874341}"/>
              </c:ext>
            </c:extLst>
          </c:dPt>
          <c:dPt>
            <c:idx val="6"/>
            <c:invertIfNegative val="0"/>
            <c:bubble3D val="0"/>
            <c:extLst>
              <c:ext xmlns:c16="http://schemas.microsoft.com/office/drawing/2014/chart" uri="{C3380CC4-5D6E-409C-BE32-E72D297353CC}">
                <c16:uniqueId val="{00000006-5689-A046-A370-DF8CBB874341}"/>
              </c:ext>
            </c:extLst>
          </c:dPt>
          <c:dPt>
            <c:idx val="7"/>
            <c:invertIfNegative val="0"/>
            <c:bubble3D val="0"/>
            <c:spPr>
              <a:gradFill rotWithShape="0">
                <a:gsLst>
                  <a:gs pos="0">
                    <a:srgbClr val="FF9A99"/>
                  </a:gs>
                  <a:gs pos="100000">
                    <a:srgbClr val="D140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5689-A046-A370-DF8CBB874341}"/>
              </c:ext>
            </c:extLst>
          </c:dPt>
          <c:dPt>
            <c:idx val="8"/>
            <c:invertIfNegative val="0"/>
            <c:bubble3D val="0"/>
            <c:spPr>
              <a:gradFill rotWithShape="0">
                <a:gsLst>
                  <a:gs pos="0">
                    <a:srgbClr val="DCFFA0"/>
                  </a:gs>
                  <a:gs pos="100000">
                    <a:srgbClr val="A0CA4A"/>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5689-A046-A370-DF8CBB874341}"/>
              </c:ext>
            </c:extLst>
          </c:dPt>
          <c:dPt>
            <c:idx val="9"/>
            <c:invertIfNegative val="0"/>
            <c:bubble3D val="0"/>
            <c:spPr>
              <a:gradFill rotWithShape="0">
                <a:gsLst>
                  <a:gs pos="0">
                    <a:srgbClr val="C8B0ED"/>
                  </a:gs>
                  <a:gs pos="100000">
                    <a:srgbClr val="7F5BA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5689-A046-A370-DF8CBB874341}"/>
              </c:ext>
            </c:extLst>
          </c:dPt>
          <c:dPt>
            <c:idx val="10"/>
            <c:invertIfNegative val="0"/>
            <c:bubble3D val="0"/>
            <c:spPr>
              <a:gradFill rotWithShape="0">
                <a:gsLst>
                  <a:gs pos="0">
                    <a:srgbClr val="95EEFF"/>
                  </a:gs>
                  <a:gs pos="100000">
                    <a:srgbClr val="39B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5689-A046-A370-DF8CBB874341}"/>
              </c:ext>
            </c:extLst>
          </c:dPt>
          <c:dPt>
            <c:idx val="11"/>
            <c:invertIfNegative val="0"/>
            <c:bubble3D val="0"/>
            <c:spPr>
              <a:gradFill rotWithShape="0">
                <a:gsLst>
                  <a:gs pos="0">
                    <a:srgbClr val="FFB977"/>
                  </a:gs>
                  <a:gs pos="100000">
                    <a:srgbClr val="FF932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B-5689-A046-A370-DF8CBB874341}"/>
              </c:ext>
            </c:extLst>
          </c:dPt>
          <c:cat>
            <c:strRef>
              <c:f>'Data Reduction Engine'!$B$838:$B$849</c:f>
              <c:strCache>
                <c:ptCount val="12"/>
                <c:pt idx="0">
                  <c:v>(206/205)m</c:v>
                </c:pt>
                <c:pt idx="1">
                  <c:v>(204/206)m</c:v>
                </c:pt>
                <c:pt idx="2">
                  <c:v>FPb</c:v>
                </c:pt>
                <c:pt idx="3">
                  <c:v>206Pb blank</c:v>
                </c:pt>
                <c:pt idx="4">
                  <c:v>(206/204)b</c:v>
                </c:pt>
                <c:pt idx="5">
                  <c:v>(206/204)c</c:v>
                </c:pt>
                <c:pt idx="6">
                  <c:v>(238/235)m</c:v>
                </c:pt>
                <c:pt idx="7">
                  <c:v>FU</c:v>
                </c:pt>
                <c:pt idx="8">
                  <c:v>238U blank</c:v>
                </c:pt>
                <c:pt idx="9">
                  <c:v>(Th/U)zircon</c:v>
                </c:pt>
                <c:pt idx="10">
                  <c:v>(Th/U)magma</c:v>
                </c:pt>
                <c:pt idx="11">
                  <c:v>(Th/U)initial</c:v>
                </c:pt>
              </c:strCache>
            </c:strRef>
          </c:cat>
          <c:val>
            <c:numRef>
              <c:f>'Data Reduction Engine'!$AB$838:$AB$849</c:f>
              <c:numCache>
                <c:formatCode>0.00%</c:formatCode>
                <c:ptCount val="12"/>
                <c:pt idx="0">
                  <c:v>0.44083853683636232</c:v>
                </c:pt>
                <c:pt idx="1">
                  <c:v>7.3507685415368191E-6</c:v>
                </c:pt>
                <c:pt idx="2">
                  <c:v>0.33854043987396742</c:v>
                </c:pt>
                <c:pt idx="3">
                  <c:v>3.7323790040773033E-6</c:v>
                </c:pt>
                <c:pt idx="4">
                  <c:v>2.7228071748780178E-6</c:v>
                </c:pt>
                <c:pt idx="5">
                  <c:v>5.9313447242331953E-6</c:v>
                </c:pt>
                <c:pt idx="6">
                  <c:v>7.8764931966543716E-3</c:v>
                </c:pt>
                <c:pt idx="7">
                  <c:v>0.21243162742480556</c:v>
                </c:pt>
                <c:pt idx="8">
                  <c:v>2.8937509744654831E-4</c:v>
                </c:pt>
                <c:pt idx="9">
                  <c:v>6.0953165154874414E-11</c:v>
                </c:pt>
                <c:pt idx="10">
                  <c:v>3.4772572164714894E-6</c:v>
                </c:pt>
                <c:pt idx="11">
                  <c:v>3.1295314948243402E-7</c:v>
                </c:pt>
              </c:numCache>
            </c:numRef>
          </c:val>
          <c:extLst>
            <c:ext xmlns:c16="http://schemas.microsoft.com/office/drawing/2014/chart" uri="{C3380CC4-5D6E-409C-BE32-E72D297353CC}">
              <c16:uniqueId val="{0000000C-5689-A046-A370-DF8CBB874341}"/>
            </c:ext>
          </c:extLst>
        </c:ser>
        <c:dLbls>
          <c:showLegendKey val="0"/>
          <c:showVal val="0"/>
          <c:showCatName val="0"/>
          <c:showSerName val="0"/>
          <c:showPercent val="0"/>
          <c:showBubbleSize val="0"/>
        </c:dLbls>
        <c:gapWidth val="0"/>
        <c:axId val="1053988128"/>
        <c:axId val="1"/>
      </c:barChart>
      <c:catAx>
        <c:axId val="1053988128"/>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539881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5225657768388698"/>
          <c:y val="0.15833333333333305"/>
          <c:w val="0.68669982715575228"/>
          <c:h val="0.64123496281714798"/>
        </c:manualLayout>
      </c:layout>
      <c:barChart>
        <c:barDir val="col"/>
        <c:grouping val="clustered"/>
        <c:varyColors val="1"/>
        <c:ser>
          <c:idx val="0"/>
          <c:order val="0"/>
          <c:tx>
            <c:strRef>
              <c:f>'Data Reduction Engine'!$AB$5</c:f>
              <c:strCache>
                <c:ptCount val="1"/>
                <c:pt idx="0">
                  <c:v>z2</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2BFF8"/>
                  </a:gs>
                  <a:gs pos="100000">
                    <a:srgbClr val="3670B6"/>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F796-C64E-9589-2CB7E1C49819}"/>
              </c:ext>
            </c:extLst>
          </c:dPt>
          <c:dPt>
            <c:idx val="1"/>
            <c:invertIfNegative val="0"/>
            <c:bubble3D val="0"/>
            <c:spPr>
              <a:gradFill rotWithShape="0">
                <a:gsLst>
                  <a:gs pos="0">
                    <a:srgbClr val="FAA1A0"/>
                  </a:gs>
                  <a:gs pos="100000">
                    <a:srgbClr val="B93734"/>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F796-C64E-9589-2CB7E1C49819}"/>
              </c:ext>
            </c:extLst>
          </c:dPt>
          <c:dPt>
            <c:idx val="2"/>
            <c:invertIfNegative val="0"/>
            <c:bubble3D val="0"/>
            <c:spPr>
              <a:gradFill rotWithShape="0">
                <a:gsLst>
                  <a:gs pos="0">
                    <a:srgbClr val="D4F4A6"/>
                  </a:gs>
                  <a:gs pos="100000">
                    <a:srgbClr val="8DB241"/>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F796-C64E-9589-2CB7E1C49819}"/>
              </c:ext>
            </c:extLst>
          </c:dPt>
          <c:dPt>
            <c:idx val="3"/>
            <c:invertIfNegative val="0"/>
            <c:bubble3D val="0"/>
            <c:spPr>
              <a:gradFill rotWithShape="0">
                <a:gsLst>
                  <a:gs pos="0">
                    <a:srgbClr val="C5B3E2"/>
                  </a:gs>
                  <a:gs pos="100000">
                    <a:srgbClr val="704F97"/>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F796-C64E-9589-2CB7E1C49819}"/>
              </c:ext>
            </c:extLst>
          </c:dPt>
          <c:dPt>
            <c:idx val="4"/>
            <c:invertIfNegative val="0"/>
            <c:bubble3D val="0"/>
            <c:spPr>
              <a:gradFill rotWithShape="0">
                <a:gsLst>
                  <a:gs pos="0">
                    <a:srgbClr val="9DE2FF"/>
                  </a:gs>
                  <a:gs pos="100000">
                    <a:srgbClr val="31A1C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F796-C64E-9589-2CB7E1C49819}"/>
              </c:ext>
            </c:extLst>
          </c:dPt>
          <c:dPt>
            <c:idx val="5"/>
            <c:invertIfNegative val="0"/>
            <c:bubble3D val="0"/>
            <c:spPr>
              <a:gradFill rotWithShape="0">
                <a:gsLst>
                  <a:gs pos="0">
                    <a:srgbClr val="FFB885"/>
                  </a:gs>
                  <a:gs pos="100000">
                    <a:srgbClr val="F28225"/>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F796-C64E-9589-2CB7E1C49819}"/>
              </c:ext>
            </c:extLst>
          </c:dPt>
          <c:dPt>
            <c:idx val="6"/>
            <c:invertIfNegative val="0"/>
            <c:bubble3D val="0"/>
            <c:spPr>
              <a:gradFill rotWithShape="0">
                <a:gsLst>
                  <a:gs pos="0">
                    <a:srgbClr val="B6D1FF"/>
                  </a:gs>
                  <a:gs pos="100000">
                    <a:srgbClr val="8AA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6-F796-C64E-9589-2CB7E1C49819}"/>
              </c:ext>
            </c:extLst>
          </c:dPt>
          <c:dPt>
            <c:idx val="7"/>
            <c:invertIfNegative val="0"/>
            <c:bubble3D val="0"/>
            <c:spPr>
              <a:gradFill rotWithShape="0">
                <a:gsLst>
                  <a:gs pos="0">
                    <a:srgbClr val="FFB6B4"/>
                  </a:gs>
                  <a:gs pos="100000">
                    <a:srgbClr val="DA8A8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F796-C64E-9589-2CB7E1C49819}"/>
              </c:ext>
            </c:extLst>
          </c:dPt>
          <c:dPt>
            <c:idx val="8"/>
            <c:invertIfNegative val="0"/>
            <c:bubble3D val="0"/>
            <c:spPr>
              <a:gradFill rotWithShape="0">
                <a:gsLst>
                  <a:gs pos="0">
                    <a:srgbClr val="E4FFBA"/>
                  </a:gs>
                  <a:gs pos="100000">
                    <a:srgbClr val="BBD68E"/>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F796-C64E-9589-2CB7E1C49819}"/>
              </c:ext>
            </c:extLst>
          </c:dPt>
          <c:dPt>
            <c:idx val="9"/>
            <c:invertIfNegative val="0"/>
            <c:bubble3D val="0"/>
            <c:spPr>
              <a:gradFill rotWithShape="0">
                <a:gsLst>
                  <a:gs pos="0">
                    <a:srgbClr val="D6C5F1"/>
                  </a:gs>
                  <a:gs pos="100000">
                    <a:srgbClr val="A896C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F796-C64E-9589-2CB7E1C49819}"/>
              </c:ext>
            </c:extLst>
          </c:dPt>
          <c:dPt>
            <c:idx val="10"/>
            <c:invertIfNegative val="0"/>
            <c:bubble3D val="0"/>
            <c:spPr>
              <a:gradFill rotWithShape="0">
                <a:gsLst>
                  <a:gs pos="0">
                    <a:srgbClr val="B2F1FF"/>
                  </a:gs>
                  <a:gs pos="100000">
                    <a:srgbClr val="87C8DF"/>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F796-C64E-9589-2CB7E1C49819}"/>
              </c:ext>
            </c:extLst>
          </c:dPt>
          <c:cat>
            <c:strRef>
              <c:f>'Data Reduction Engine'!$B$864:$B$874</c:f>
              <c:strCache>
                <c:ptCount val="11"/>
                <c:pt idx="0">
                  <c:v>(206/205)m</c:v>
                </c:pt>
                <c:pt idx="1">
                  <c:v>(207/206)m</c:v>
                </c:pt>
                <c:pt idx="2">
                  <c:v>(204/206)m</c:v>
                </c:pt>
                <c:pt idx="3">
                  <c:v>FPb</c:v>
                </c:pt>
                <c:pt idx="4">
                  <c:v>206Pb blank</c:v>
                </c:pt>
                <c:pt idx="5">
                  <c:v>(206/204)b</c:v>
                </c:pt>
                <c:pt idx="6">
                  <c:v>(207/206)c</c:v>
                </c:pt>
                <c:pt idx="7">
                  <c:v>(206/204)c</c:v>
                </c:pt>
                <c:pt idx="8">
                  <c:v>(206/205)t</c:v>
                </c:pt>
                <c:pt idx="9">
                  <c:v>(207/206)t</c:v>
                </c:pt>
                <c:pt idx="10">
                  <c:v>(204/205)t</c:v>
                </c:pt>
              </c:strCache>
            </c:strRef>
          </c:cat>
          <c:val>
            <c:numRef>
              <c:f>'Data Reduction Engine'!$AB$864:$AB$874</c:f>
              <c:numCache>
                <c:formatCode>0.00%</c:formatCode>
                <c:ptCount val="11"/>
                <c:pt idx="0">
                  <c:v>4.3541007722674683E-9</c:v>
                </c:pt>
                <c:pt idx="1">
                  <c:v>2.5727003329158812E-7</c:v>
                </c:pt>
                <c:pt idx="2">
                  <c:v>3.2457443555451232E-4</c:v>
                </c:pt>
                <c:pt idx="3">
                  <c:v>0.99950998487669718</c:v>
                </c:pt>
                <c:pt idx="4">
                  <c:v>4.1208972485014672E-8</c:v>
                </c:pt>
                <c:pt idx="5">
                  <c:v>1.2022601404411026E-4</c:v>
                </c:pt>
                <c:pt idx="6">
                  <c:v>2.3114495561099893E-5</c:v>
                </c:pt>
                <c:pt idx="7">
                  <c:v>1.7459731068190208E-5</c:v>
                </c:pt>
                <c:pt idx="8">
                  <c:v>1.7551079752821707E-7</c:v>
                </c:pt>
                <c:pt idx="9">
                  <c:v>4.9455968551753381E-13</c:v>
                </c:pt>
                <c:pt idx="10">
                  <c:v>4.1621026763215289E-6</c:v>
                </c:pt>
              </c:numCache>
            </c:numRef>
          </c:val>
          <c:extLst>
            <c:ext xmlns:c16="http://schemas.microsoft.com/office/drawing/2014/chart" uri="{C3380CC4-5D6E-409C-BE32-E72D297353CC}">
              <c16:uniqueId val="{0000000B-F796-C64E-9589-2CB7E1C49819}"/>
            </c:ext>
          </c:extLst>
        </c:ser>
        <c:dLbls>
          <c:showLegendKey val="0"/>
          <c:showVal val="0"/>
          <c:showCatName val="0"/>
          <c:showSerName val="0"/>
          <c:showPercent val="0"/>
          <c:showBubbleSize val="0"/>
        </c:dLbls>
        <c:gapWidth val="0"/>
        <c:axId val="1053862368"/>
        <c:axId val="1"/>
      </c:barChart>
      <c:catAx>
        <c:axId val="1053862368"/>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538623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8876896485500305"/>
          <c:y val="0.15778546712802805"/>
          <c:w val="0.76535740349529513"/>
          <c:h val="0.59972318339100306"/>
        </c:manualLayout>
      </c:layout>
      <c:barChart>
        <c:barDir val="col"/>
        <c:grouping val="clustered"/>
        <c:varyColors val="1"/>
        <c:ser>
          <c:idx val="0"/>
          <c:order val="0"/>
          <c:tx>
            <c:strRef>
              <c:f>'Data Reduction Engine'!$AC$5</c:f>
              <c:strCache>
                <c:ptCount val="1"/>
                <c:pt idx="0">
                  <c:v>z3</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5BFF0"/>
                  </a:gs>
                  <a:gs pos="100000">
                    <a:srgbClr val="3268A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9942-A34A-A6AB-A4DA7CDCFA3D}"/>
              </c:ext>
            </c:extLst>
          </c:dPt>
          <c:dPt>
            <c:idx val="1"/>
            <c:invertIfNegative val="0"/>
            <c:bubble3D val="0"/>
            <c:spPr>
              <a:gradFill rotWithShape="0">
                <a:gsLst>
                  <a:gs pos="0">
                    <a:srgbClr val="F2A5A4"/>
                  </a:gs>
                  <a:gs pos="100000">
                    <a:srgbClr val="AD333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9942-A34A-A6AB-A4DA7CDCFA3D}"/>
              </c:ext>
            </c:extLst>
          </c:dPt>
          <c:dPt>
            <c:idx val="2"/>
            <c:invertIfNegative val="0"/>
            <c:bubble3D val="0"/>
            <c:spPr>
              <a:gradFill rotWithShape="0">
                <a:gsLst>
                  <a:gs pos="0">
                    <a:srgbClr val="D1EDA8"/>
                  </a:gs>
                  <a:gs pos="100000">
                    <a:srgbClr val="83A6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9942-A34A-A6AB-A4DA7CDCFA3D}"/>
              </c:ext>
            </c:extLst>
          </c:dPt>
          <c:dPt>
            <c:idx val="3"/>
            <c:invertIfNegative val="0"/>
            <c:bubble3D val="0"/>
            <c:spPr>
              <a:gradFill rotWithShape="0">
                <a:gsLst>
                  <a:gs pos="0">
                    <a:srgbClr val="C4B4DD"/>
                  </a:gs>
                  <a:gs pos="100000">
                    <a:srgbClr val="68498D"/>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9942-A34A-A6AB-A4DA7CDCFA3D}"/>
              </c:ext>
            </c:extLst>
          </c:dPt>
          <c:dPt>
            <c:idx val="4"/>
            <c:invertIfNegative val="0"/>
            <c:bubble3D val="0"/>
            <c:spPr>
              <a:gradFill rotWithShape="0">
                <a:gsLst>
                  <a:gs pos="0">
                    <a:srgbClr val="A1DDF6"/>
                  </a:gs>
                  <a:gs pos="100000">
                    <a:srgbClr val="2D96B3"/>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9942-A34A-A6AB-A4DA7CDCFA3D}"/>
              </c:ext>
            </c:extLst>
          </c:dPt>
          <c:dPt>
            <c:idx val="5"/>
            <c:invertIfNegative val="0"/>
            <c:bubble3D val="0"/>
            <c:spPr>
              <a:gradFill rotWithShape="0">
                <a:gsLst>
                  <a:gs pos="0">
                    <a:srgbClr val="FFB88C"/>
                  </a:gs>
                  <a:gs pos="100000">
                    <a:srgbClr val="E2792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9942-A34A-A6AB-A4DA7CDCFA3D}"/>
              </c:ext>
            </c:extLst>
          </c:dPt>
          <c:dPt>
            <c:idx val="6"/>
            <c:invertIfNegative val="0"/>
            <c:bubble3D val="0"/>
            <c:extLst>
              <c:ext xmlns:c16="http://schemas.microsoft.com/office/drawing/2014/chart" uri="{C3380CC4-5D6E-409C-BE32-E72D297353CC}">
                <c16:uniqueId val="{00000006-9942-A34A-A6AB-A4DA7CDCFA3D}"/>
              </c:ext>
            </c:extLst>
          </c:dPt>
          <c:dPt>
            <c:idx val="7"/>
            <c:invertIfNegative val="0"/>
            <c:bubble3D val="0"/>
            <c:spPr>
              <a:gradFill rotWithShape="0">
                <a:gsLst>
                  <a:gs pos="0">
                    <a:srgbClr val="FF9A99"/>
                  </a:gs>
                  <a:gs pos="100000">
                    <a:srgbClr val="D140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9942-A34A-A6AB-A4DA7CDCFA3D}"/>
              </c:ext>
            </c:extLst>
          </c:dPt>
          <c:dPt>
            <c:idx val="8"/>
            <c:invertIfNegative val="0"/>
            <c:bubble3D val="0"/>
            <c:spPr>
              <a:gradFill rotWithShape="0">
                <a:gsLst>
                  <a:gs pos="0">
                    <a:srgbClr val="DCFFA0"/>
                  </a:gs>
                  <a:gs pos="100000">
                    <a:srgbClr val="A0CA4A"/>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9942-A34A-A6AB-A4DA7CDCFA3D}"/>
              </c:ext>
            </c:extLst>
          </c:dPt>
          <c:dPt>
            <c:idx val="9"/>
            <c:invertIfNegative val="0"/>
            <c:bubble3D val="0"/>
            <c:spPr>
              <a:gradFill rotWithShape="0">
                <a:gsLst>
                  <a:gs pos="0">
                    <a:srgbClr val="C8B0ED"/>
                  </a:gs>
                  <a:gs pos="100000">
                    <a:srgbClr val="7F5BA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9942-A34A-A6AB-A4DA7CDCFA3D}"/>
              </c:ext>
            </c:extLst>
          </c:dPt>
          <c:dPt>
            <c:idx val="10"/>
            <c:invertIfNegative val="0"/>
            <c:bubble3D val="0"/>
            <c:spPr>
              <a:gradFill rotWithShape="0">
                <a:gsLst>
                  <a:gs pos="0">
                    <a:srgbClr val="95EEFF"/>
                  </a:gs>
                  <a:gs pos="100000">
                    <a:srgbClr val="39B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9942-A34A-A6AB-A4DA7CDCFA3D}"/>
              </c:ext>
            </c:extLst>
          </c:dPt>
          <c:dPt>
            <c:idx val="11"/>
            <c:invertIfNegative val="0"/>
            <c:bubble3D val="0"/>
            <c:spPr>
              <a:gradFill rotWithShape="0">
                <a:gsLst>
                  <a:gs pos="0">
                    <a:srgbClr val="FFB977"/>
                  </a:gs>
                  <a:gs pos="100000">
                    <a:srgbClr val="FF932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B-9942-A34A-A6AB-A4DA7CDCFA3D}"/>
              </c:ext>
            </c:extLst>
          </c:dPt>
          <c:cat>
            <c:strRef>
              <c:f>'Data Reduction Engine'!$B$838:$B$849</c:f>
              <c:strCache>
                <c:ptCount val="12"/>
                <c:pt idx="0">
                  <c:v>(206/205)m</c:v>
                </c:pt>
                <c:pt idx="1">
                  <c:v>(204/206)m</c:v>
                </c:pt>
                <c:pt idx="2">
                  <c:v>FPb</c:v>
                </c:pt>
                <c:pt idx="3">
                  <c:v>206Pb blank</c:v>
                </c:pt>
                <c:pt idx="4">
                  <c:v>(206/204)b</c:v>
                </c:pt>
                <c:pt idx="5">
                  <c:v>(206/204)c</c:v>
                </c:pt>
                <c:pt idx="6">
                  <c:v>(238/235)m</c:v>
                </c:pt>
                <c:pt idx="7">
                  <c:v>FU</c:v>
                </c:pt>
                <c:pt idx="8">
                  <c:v>238U blank</c:v>
                </c:pt>
                <c:pt idx="9">
                  <c:v>(Th/U)zircon</c:v>
                </c:pt>
                <c:pt idx="10">
                  <c:v>(Th/U)magma</c:v>
                </c:pt>
                <c:pt idx="11">
                  <c:v>(Th/U)initial</c:v>
                </c:pt>
              </c:strCache>
            </c:strRef>
          </c:cat>
          <c:val>
            <c:numRef>
              <c:f>'Data Reduction Engine'!$AC$838:$AC$849</c:f>
              <c:numCache>
                <c:formatCode>0.00%</c:formatCode>
                <c:ptCount val="12"/>
                <c:pt idx="0">
                  <c:v>0.11002105058989869</c:v>
                </c:pt>
                <c:pt idx="1">
                  <c:v>2.1766983079062225E-5</c:v>
                </c:pt>
                <c:pt idx="2">
                  <c:v>0.54148525574789386</c:v>
                </c:pt>
                <c:pt idx="3">
                  <c:v>2.7357894979923846E-5</c:v>
                </c:pt>
                <c:pt idx="4">
                  <c:v>1.9957853331486898E-5</c:v>
                </c:pt>
                <c:pt idx="5">
                  <c:v>3.6450117230252442E-6</c:v>
                </c:pt>
                <c:pt idx="6">
                  <c:v>1.326375254539448E-2</c:v>
                </c:pt>
                <c:pt idx="7">
                  <c:v>0.3330508874729905</c:v>
                </c:pt>
                <c:pt idx="8">
                  <c:v>2.0982402248027748E-3</c:v>
                </c:pt>
                <c:pt idx="9">
                  <c:v>1.2361729343769664E-10</c:v>
                </c:pt>
                <c:pt idx="10">
                  <c:v>7.4179378797819652E-6</c:v>
                </c:pt>
                <c:pt idx="11">
                  <c:v>6.6761440918037676E-7</c:v>
                </c:pt>
              </c:numCache>
            </c:numRef>
          </c:val>
          <c:extLst>
            <c:ext xmlns:c16="http://schemas.microsoft.com/office/drawing/2014/chart" uri="{C3380CC4-5D6E-409C-BE32-E72D297353CC}">
              <c16:uniqueId val="{0000000C-9942-A34A-A6AB-A4DA7CDCFA3D}"/>
            </c:ext>
          </c:extLst>
        </c:ser>
        <c:dLbls>
          <c:showLegendKey val="0"/>
          <c:showVal val="0"/>
          <c:showCatName val="0"/>
          <c:showSerName val="0"/>
          <c:showPercent val="0"/>
          <c:showBubbleSize val="0"/>
        </c:dLbls>
        <c:gapWidth val="0"/>
        <c:axId val="1051360288"/>
        <c:axId val="1"/>
      </c:barChart>
      <c:catAx>
        <c:axId val="1051360288"/>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513602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5225657768388698"/>
          <c:y val="0.15833333333333305"/>
          <c:w val="0.68669982715575228"/>
          <c:h val="0.64123496281714798"/>
        </c:manualLayout>
      </c:layout>
      <c:barChart>
        <c:barDir val="col"/>
        <c:grouping val="clustered"/>
        <c:varyColors val="1"/>
        <c:ser>
          <c:idx val="0"/>
          <c:order val="0"/>
          <c:tx>
            <c:strRef>
              <c:f>'Data Reduction Engine'!$AC$5</c:f>
              <c:strCache>
                <c:ptCount val="1"/>
                <c:pt idx="0">
                  <c:v>z3</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2BFF8"/>
                  </a:gs>
                  <a:gs pos="100000">
                    <a:srgbClr val="3670B6"/>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E8FB-D74B-90FB-9DC4ACED3A89}"/>
              </c:ext>
            </c:extLst>
          </c:dPt>
          <c:dPt>
            <c:idx val="1"/>
            <c:invertIfNegative val="0"/>
            <c:bubble3D val="0"/>
            <c:spPr>
              <a:gradFill rotWithShape="0">
                <a:gsLst>
                  <a:gs pos="0">
                    <a:srgbClr val="FAA1A0"/>
                  </a:gs>
                  <a:gs pos="100000">
                    <a:srgbClr val="B93734"/>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E8FB-D74B-90FB-9DC4ACED3A89}"/>
              </c:ext>
            </c:extLst>
          </c:dPt>
          <c:dPt>
            <c:idx val="2"/>
            <c:invertIfNegative val="0"/>
            <c:bubble3D val="0"/>
            <c:spPr>
              <a:gradFill rotWithShape="0">
                <a:gsLst>
                  <a:gs pos="0">
                    <a:srgbClr val="D4F4A6"/>
                  </a:gs>
                  <a:gs pos="100000">
                    <a:srgbClr val="8DB241"/>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E8FB-D74B-90FB-9DC4ACED3A89}"/>
              </c:ext>
            </c:extLst>
          </c:dPt>
          <c:dPt>
            <c:idx val="3"/>
            <c:invertIfNegative val="0"/>
            <c:bubble3D val="0"/>
            <c:spPr>
              <a:gradFill rotWithShape="0">
                <a:gsLst>
                  <a:gs pos="0">
                    <a:srgbClr val="C5B3E2"/>
                  </a:gs>
                  <a:gs pos="100000">
                    <a:srgbClr val="704F97"/>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E8FB-D74B-90FB-9DC4ACED3A89}"/>
              </c:ext>
            </c:extLst>
          </c:dPt>
          <c:dPt>
            <c:idx val="4"/>
            <c:invertIfNegative val="0"/>
            <c:bubble3D val="0"/>
            <c:spPr>
              <a:gradFill rotWithShape="0">
                <a:gsLst>
                  <a:gs pos="0">
                    <a:srgbClr val="9DE2FF"/>
                  </a:gs>
                  <a:gs pos="100000">
                    <a:srgbClr val="31A1C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E8FB-D74B-90FB-9DC4ACED3A89}"/>
              </c:ext>
            </c:extLst>
          </c:dPt>
          <c:dPt>
            <c:idx val="5"/>
            <c:invertIfNegative val="0"/>
            <c:bubble3D val="0"/>
            <c:spPr>
              <a:gradFill rotWithShape="0">
                <a:gsLst>
                  <a:gs pos="0">
                    <a:srgbClr val="FFB885"/>
                  </a:gs>
                  <a:gs pos="100000">
                    <a:srgbClr val="F28225"/>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E8FB-D74B-90FB-9DC4ACED3A89}"/>
              </c:ext>
            </c:extLst>
          </c:dPt>
          <c:dPt>
            <c:idx val="6"/>
            <c:invertIfNegative val="0"/>
            <c:bubble3D val="0"/>
            <c:spPr>
              <a:gradFill rotWithShape="0">
                <a:gsLst>
                  <a:gs pos="0">
                    <a:srgbClr val="B6D1FF"/>
                  </a:gs>
                  <a:gs pos="100000">
                    <a:srgbClr val="8AA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6-E8FB-D74B-90FB-9DC4ACED3A89}"/>
              </c:ext>
            </c:extLst>
          </c:dPt>
          <c:dPt>
            <c:idx val="7"/>
            <c:invertIfNegative val="0"/>
            <c:bubble3D val="0"/>
            <c:spPr>
              <a:gradFill rotWithShape="0">
                <a:gsLst>
                  <a:gs pos="0">
                    <a:srgbClr val="FFB6B4"/>
                  </a:gs>
                  <a:gs pos="100000">
                    <a:srgbClr val="DA8A8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E8FB-D74B-90FB-9DC4ACED3A89}"/>
              </c:ext>
            </c:extLst>
          </c:dPt>
          <c:dPt>
            <c:idx val="8"/>
            <c:invertIfNegative val="0"/>
            <c:bubble3D val="0"/>
            <c:spPr>
              <a:gradFill rotWithShape="0">
                <a:gsLst>
                  <a:gs pos="0">
                    <a:srgbClr val="E4FFBA"/>
                  </a:gs>
                  <a:gs pos="100000">
                    <a:srgbClr val="BBD68E"/>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E8FB-D74B-90FB-9DC4ACED3A89}"/>
              </c:ext>
            </c:extLst>
          </c:dPt>
          <c:dPt>
            <c:idx val="9"/>
            <c:invertIfNegative val="0"/>
            <c:bubble3D val="0"/>
            <c:spPr>
              <a:gradFill rotWithShape="0">
                <a:gsLst>
                  <a:gs pos="0">
                    <a:srgbClr val="D6C5F1"/>
                  </a:gs>
                  <a:gs pos="100000">
                    <a:srgbClr val="A896C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E8FB-D74B-90FB-9DC4ACED3A89}"/>
              </c:ext>
            </c:extLst>
          </c:dPt>
          <c:dPt>
            <c:idx val="10"/>
            <c:invertIfNegative val="0"/>
            <c:bubble3D val="0"/>
            <c:spPr>
              <a:gradFill rotWithShape="0">
                <a:gsLst>
                  <a:gs pos="0">
                    <a:srgbClr val="B2F1FF"/>
                  </a:gs>
                  <a:gs pos="100000">
                    <a:srgbClr val="87C8DF"/>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E8FB-D74B-90FB-9DC4ACED3A89}"/>
              </c:ext>
            </c:extLst>
          </c:dPt>
          <c:cat>
            <c:strRef>
              <c:f>'Data Reduction Engine'!$B$864:$B$874</c:f>
              <c:strCache>
                <c:ptCount val="11"/>
                <c:pt idx="0">
                  <c:v>(206/205)m</c:v>
                </c:pt>
                <c:pt idx="1">
                  <c:v>(207/206)m</c:v>
                </c:pt>
                <c:pt idx="2">
                  <c:v>(204/206)m</c:v>
                </c:pt>
                <c:pt idx="3">
                  <c:v>FPb</c:v>
                </c:pt>
                <c:pt idx="4">
                  <c:v>206Pb blank</c:v>
                </c:pt>
                <c:pt idx="5">
                  <c:v>(206/204)b</c:v>
                </c:pt>
                <c:pt idx="6">
                  <c:v>(207/206)c</c:v>
                </c:pt>
                <c:pt idx="7">
                  <c:v>(206/204)c</c:v>
                </c:pt>
                <c:pt idx="8">
                  <c:v>(206/205)t</c:v>
                </c:pt>
                <c:pt idx="9">
                  <c:v>(207/206)t</c:v>
                </c:pt>
                <c:pt idx="10">
                  <c:v>(204/205)t</c:v>
                </c:pt>
              </c:strCache>
            </c:strRef>
          </c:cat>
          <c:val>
            <c:numRef>
              <c:f>'Data Reduction Engine'!$AC$864:$AC$874</c:f>
              <c:numCache>
                <c:formatCode>0.00%</c:formatCode>
                <c:ptCount val="11"/>
                <c:pt idx="0">
                  <c:v>3.1021352887478716E-9</c:v>
                </c:pt>
                <c:pt idx="1">
                  <c:v>7.0521750593862401E-7</c:v>
                </c:pt>
                <c:pt idx="2">
                  <c:v>5.9830651784278607E-4</c:v>
                </c:pt>
                <c:pt idx="3">
                  <c:v>0.9988169025809458</c:v>
                </c:pt>
                <c:pt idx="4">
                  <c:v>1.883823776075425E-7</c:v>
                </c:pt>
                <c:pt idx="5">
                  <c:v>5.4857918008237869E-4</c:v>
                </c:pt>
                <c:pt idx="6">
                  <c:v>8.8427366959887169E-6</c:v>
                </c:pt>
                <c:pt idx="7">
                  <c:v>6.6801856982699109E-6</c:v>
                </c:pt>
                <c:pt idx="8">
                  <c:v>8.008395986631749E-7</c:v>
                </c:pt>
                <c:pt idx="9">
                  <c:v>2.2566913358884483E-12</c:v>
                </c:pt>
                <c:pt idx="10">
                  <c:v>1.8991254860677909E-5</c:v>
                </c:pt>
              </c:numCache>
            </c:numRef>
          </c:val>
          <c:extLst>
            <c:ext xmlns:c16="http://schemas.microsoft.com/office/drawing/2014/chart" uri="{C3380CC4-5D6E-409C-BE32-E72D297353CC}">
              <c16:uniqueId val="{0000000B-E8FB-D74B-90FB-9DC4ACED3A89}"/>
            </c:ext>
          </c:extLst>
        </c:ser>
        <c:dLbls>
          <c:showLegendKey val="0"/>
          <c:showVal val="0"/>
          <c:showCatName val="0"/>
          <c:showSerName val="0"/>
          <c:showPercent val="0"/>
          <c:showBubbleSize val="0"/>
        </c:dLbls>
        <c:gapWidth val="0"/>
        <c:axId val="1051700992"/>
        <c:axId val="1"/>
      </c:barChart>
      <c:catAx>
        <c:axId val="1051700992"/>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517009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8876896485500305"/>
          <c:y val="0.15778546712802805"/>
          <c:w val="0.76535740349529513"/>
          <c:h val="0.59972318339100306"/>
        </c:manualLayout>
      </c:layout>
      <c:barChart>
        <c:barDir val="col"/>
        <c:grouping val="clustered"/>
        <c:varyColors val="1"/>
        <c:ser>
          <c:idx val="0"/>
          <c:order val="0"/>
          <c:tx>
            <c:strRef>
              <c:f>'Data Reduction Engine'!$AD$5</c:f>
              <c:strCache>
                <c:ptCount val="1"/>
                <c:pt idx="0">
                  <c:v>z4</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5BFF0"/>
                  </a:gs>
                  <a:gs pos="100000">
                    <a:srgbClr val="3268A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E079-E849-AA5C-4623675F70AA}"/>
              </c:ext>
            </c:extLst>
          </c:dPt>
          <c:dPt>
            <c:idx val="1"/>
            <c:invertIfNegative val="0"/>
            <c:bubble3D val="0"/>
            <c:spPr>
              <a:gradFill rotWithShape="0">
                <a:gsLst>
                  <a:gs pos="0">
                    <a:srgbClr val="F2A5A4"/>
                  </a:gs>
                  <a:gs pos="100000">
                    <a:srgbClr val="AD333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E079-E849-AA5C-4623675F70AA}"/>
              </c:ext>
            </c:extLst>
          </c:dPt>
          <c:dPt>
            <c:idx val="2"/>
            <c:invertIfNegative val="0"/>
            <c:bubble3D val="0"/>
            <c:spPr>
              <a:gradFill rotWithShape="0">
                <a:gsLst>
                  <a:gs pos="0">
                    <a:srgbClr val="D1EDA8"/>
                  </a:gs>
                  <a:gs pos="100000">
                    <a:srgbClr val="83A6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E079-E849-AA5C-4623675F70AA}"/>
              </c:ext>
            </c:extLst>
          </c:dPt>
          <c:dPt>
            <c:idx val="3"/>
            <c:invertIfNegative val="0"/>
            <c:bubble3D val="0"/>
            <c:spPr>
              <a:gradFill rotWithShape="0">
                <a:gsLst>
                  <a:gs pos="0">
                    <a:srgbClr val="C4B4DD"/>
                  </a:gs>
                  <a:gs pos="100000">
                    <a:srgbClr val="68498D"/>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E079-E849-AA5C-4623675F70AA}"/>
              </c:ext>
            </c:extLst>
          </c:dPt>
          <c:dPt>
            <c:idx val="4"/>
            <c:invertIfNegative val="0"/>
            <c:bubble3D val="0"/>
            <c:spPr>
              <a:gradFill rotWithShape="0">
                <a:gsLst>
                  <a:gs pos="0">
                    <a:srgbClr val="A1DDF6"/>
                  </a:gs>
                  <a:gs pos="100000">
                    <a:srgbClr val="2D96B3"/>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E079-E849-AA5C-4623675F70AA}"/>
              </c:ext>
            </c:extLst>
          </c:dPt>
          <c:dPt>
            <c:idx val="5"/>
            <c:invertIfNegative val="0"/>
            <c:bubble3D val="0"/>
            <c:spPr>
              <a:gradFill rotWithShape="0">
                <a:gsLst>
                  <a:gs pos="0">
                    <a:srgbClr val="FFB88C"/>
                  </a:gs>
                  <a:gs pos="100000">
                    <a:srgbClr val="E2792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E079-E849-AA5C-4623675F70AA}"/>
              </c:ext>
            </c:extLst>
          </c:dPt>
          <c:dPt>
            <c:idx val="6"/>
            <c:invertIfNegative val="0"/>
            <c:bubble3D val="0"/>
            <c:extLst>
              <c:ext xmlns:c16="http://schemas.microsoft.com/office/drawing/2014/chart" uri="{C3380CC4-5D6E-409C-BE32-E72D297353CC}">
                <c16:uniqueId val="{00000006-E079-E849-AA5C-4623675F70AA}"/>
              </c:ext>
            </c:extLst>
          </c:dPt>
          <c:dPt>
            <c:idx val="7"/>
            <c:invertIfNegative val="0"/>
            <c:bubble3D val="0"/>
            <c:spPr>
              <a:gradFill rotWithShape="0">
                <a:gsLst>
                  <a:gs pos="0">
                    <a:srgbClr val="FF9A99"/>
                  </a:gs>
                  <a:gs pos="100000">
                    <a:srgbClr val="D140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E079-E849-AA5C-4623675F70AA}"/>
              </c:ext>
            </c:extLst>
          </c:dPt>
          <c:dPt>
            <c:idx val="8"/>
            <c:invertIfNegative val="0"/>
            <c:bubble3D val="0"/>
            <c:spPr>
              <a:gradFill rotWithShape="0">
                <a:gsLst>
                  <a:gs pos="0">
                    <a:srgbClr val="DCFFA0"/>
                  </a:gs>
                  <a:gs pos="100000">
                    <a:srgbClr val="A0CA4A"/>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E079-E849-AA5C-4623675F70AA}"/>
              </c:ext>
            </c:extLst>
          </c:dPt>
          <c:dPt>
            <c:idx val="9"/>
            <c:invertIfNegative val="0"/>
            <c:bubble3D val="0"/>
            <c:spPr>
              <a:gradFill rotWithShape="0">
                <a:gsLst>
                  <a:gs pos="0">
                    <a:srgbClr val="C8B0ED"/>
                  </a:gs>
                  <a:gs pos="100000">
                    <a:srgbClr val="7F5BA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E079-E849-AA5C-4623675F70AA}"/>
              </c:ext>
            </c:extLst>
          </c:dPt>
          <c:dPt>
            <c:idx val="10"/>
            <c:invertIfNegative val="0"/>
            <c:bubble3D val="0"/>
            <c:spPr>
              <a:gradFill rotWithShape="0">
                <a:gsLst>
                  <a:gs pos="0">
                    <a:srgbClr val="95EEFF"/>
                  </a:gs>
                  <a:gs pos="100000">
                    <a:srgbClr val="39B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E079-E849-AA5C-4623675F70AA}"/>
              </c:ext>
            </c:extLst>
          </c:dPt>
          <c:dPt>
            <c:idx val="11"/>
            <c:invertIfNegative val="0"/>
            <c:bubble3D val="0"/>
            <c:spPr>
              <a:gradFill rotWithShape="0">
                <a:gsLst>
                  <a:gs pos="0">
                    <a:srgbClr val="FFB977"/>
                  </a:gs>
                  <a:gs pos="100000">
                    <a:srgbClr val="FF932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B-E079-E849-AA5C-4623675F70AA}"/>
              </c:ext>
            </c:extLst>
          </c:dPt>
          <c:cat>
            <c:strRef>
              <c:f>'Data Reduction Engine'!$B$838:$B$849</c:f>
              <c:strCache>
                <c:ptCount val="12"/>
                <c:pt idx="0">
                  <c:v>(206/205)m</c:v>
                </c:pt>
                <c:pt idx="1">
                  <c:v>(204/206)m</c:v>
                </c:pt>
                <c:pt idx="2">
                  <c:v>FPb</c:v>
                </c:pt>
                <c:pt idx="3">
                  <c:v>206Pb blank</c:v>
                </c:pt>
                <c:pt idx="4">
                  <c:v>(206/204)b</c:v>
                </c:pt>
                <c:pt idx="5">
                  <c:v>(206/204)c</c:v>
                </c:pt>
                <c:pt idx="6">
                  <c:v>(238/235)m</c:v>
                </c:pt>
                <c:pt idx="7">
                  <c:v>FU</c:v>
                </c:pt>
                <c:pt idx="8">
                  <c:v>238U blank</c:v>
                </c:pt>
                <c:pt idx="9">
                  <c:v>(Th/U)zircon</c:v>
                </c:pt>
                <c:pt idx="10">
                  <c:v>(Th/U)magma</c:v>
                </c:pt>
                <c:pt idx="11">
                  <c:v>(Th/U)initial</c:v>
                </c:pt>
              </c:strCache>
            </c:strRef>
          </c:cat>
          <c:val>
            <c:numRef>
              <c:f>'Data Reduction Engine'!$AD$838:$AD$849</c:f>
              <c:numCache>
                <c:formatCode>0.00%</c:formatCode>
                <c:ptCount val="12"/>
                <c:pt idx="0">
                  <c:v>0.15951974252348128</c:v>
                </c:pt>
                <c:pt idx="1">
                  <c:v>1.0497869943850861E-5</c:v>
                </c:pt>
                <c:pt idx="2">
                  <c:v>0.5197628919060171</c:v>
                </c:pt>
                <c:pt idx="3">
                  <c:v>4.3662166089717051E-6</c:v>
                </c:pt>
                <c:pt idx="4">
                  <c:v>3.1851979386318238E-6</c:v>
                </c:pt>
                <c:pt idx="5">
                  <c:v>9.2117125539566087E-5</c:v>
                </c:pt>
                <c:pt idx="6">
                  <c:v>5.4204692007541683E-3</c:v>
                </c:pt>
                <c:pt idx="7">
                  <c:v>0.31483622809732303</c:v>
                </c:pt>
                <c:pt idx="8">
                  <c:v>3.3949228036810102E-4</c:v>
                </c:pt>
                <c:pt idx="9">
                  <c:v>1.5577527443331955E-10</c:v>
                </c:pt>
                <c:pt idx="10">
                  <c:v>1.0100391055123099E-5</c:v>
                </c:pt>
                <c:pt idx="11">
                  <c:v>9.0903519496107903E-7</c:v>
                </c:pt>
              </c:numCache>
            </c:numRef>
          </c:val>
          <c:extLst>
            <c:ext xmlns:c16="http://schemas.microsoft.com/office/drawing/2014/chart" uri="{C3380CC4-5D6E-409C-BE32-E72D297353CC}">
              <c16:uniqueId val="{0000000C-E079-E849-AA5C-4623675F70AA}"/>
            </c:ext>
          </c:extLst>
        </c:ser>
        <c:dLbls>
          <c:showLegendKey val="0"/>
          <c:showVal val="0"/>
          <c:showCatName val="0"/>
          <c:showSerName val="0"/>
          <c:showPercent val="0"/>
          <c:showBubbleSize val="0"/>
        </c:dLbls>
        <c:gapWidth val="0"/>
        <c:axId val="1051423792"/>
        <c:axId val="1"/>
      </c:barChart>
      <c:catAx>
        <c:axId val="1051423792"/>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514237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5225657768388698"/>
          <c:y val="0.15833333333333305"/>
          <c:w val="0.68669982715575228"/>
          <c:h val="0.64123496281714798"/>
        </c:manualLayout>
      </c:layout>
      <c:barChart>
        <c:barDir val="col"/>
        <c:grouping val="clustered"/>
        <c:varyColors val="1"/>
        <c:ser>
          <c:idx val="0"/>
          <c:order val="0"/>
          <c:tx>
            <c:strRef>
              <c:f>'Data Reduction Engine'!$AD$5</c:f>
              <c:strCache>
                <c:ptCount val="1"/>
                <c:pt idx="0">
                  <c:v>z4</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2BFF8"/>
                  </a:gs>
                  <a:gs pos="100000">
                    <a:srgbClr val="3670B6"/>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DBF4-A249-A03B-455C8B1F3CF4}"/>
              </c:ext>
            </c:extLst>
          </c:dPt>
          <c:dPt>
            <c:idx val="1"/>
            <c:invertIfNegative val="0"/>
            <c:bubble3D val="0"/>
            <c:spPr>
              <a:gradFill rotWithShape="0">
                <a:gsLst>
                  <a:gs pos="0">
                    <a:srgbClr val="FAA1A0"/>
                  </a:gs>
                  <a:gs pos="100000">
                    <a:srgbClr val="B93734"/>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DBF4-A249-A03B-455C8B1F3CF4}"/>
              </c:ext>
            </c:extLst>
          </c:dPt>
          <c:dPt>
            <c:idx val="2"/>
            <c:invertIfNegative val="0"/>
            <c:bubble3D val="0"/>
            <c:spPr>
              <a:gradFill rotWithShape="0">
                <a:gsLst>
                  <a:gs pos="0">
                    <a:srgbClr val="D4F4A6"/>
                  </a:gs>
                  <a:gs pos="100000">
                    <a:srgbClr val="8DB241"/>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DBF4-A249-A03B-455C8B1F3CF4}"/>
              </c:ext>
            </c:extLst>
          </c:dPt>
          <c:dPt>
            <c:idx val="3"/>
            <c:invertIfNegative val="0"/>
            <c:bubble3D val="0"/>
            <c:spPr>
              <a:gradFill rotWithShape="0">
                <a:gsLst>
                  <a:gs pos="0">
                    <a:srgbClr val="C5B3E2"/>
                  </a:gs>
                  <a:gs pos="100000">
                    <a:srgbClr val="704F97"/>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DBF4-A249-A03B-455C8B1F3CF4}"/>
              </c:ext>
            </c:extLst>
          </c:dPt>
          <c:dPt>
            <c:idx val="4"/>
            <c:invertIfNegative val="0"/>
            <c:bubble3D val="0"/>
            <c:spPr>
              <a:gradFill rotWithShape="0">
                <a:gsLst>
                  <a:gs pos="0">
                    <a:srgbClr val="9DE2FF"/>
                  </a:gs>
                  <a:gs pos="100000">
                    <a:srgbClr val="31A1C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DBF4-A249-A03B-455C8B1F3CF4}"/>
              </c:ext>
            </c:extLst>
          </c:dPt>
          <c:dPt>
            <c:idx val="5"/>
            <c:invertIfNegative val="0"/>
            <c:bubble3D val="0"/>
            <c:spPr>
              <a:gradFill rotWithShape="0">
                <a:gsLst>
                  <a:gs pos="0">
                    <a:srgbClr val="FFB885"/>
                  </a:gs>
                  <a:gs pos="100000">
                    <a:srgbClr val="F28225"/>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DBF4-A249-A03B-455C8B1F3CF4}"/>
              </c:ext>
            </c:extLst>
          </c:dPt>
          <c:dPt>
            <c:idx val="6"/>
            <c:invertIfNegative val="0"/>
            <c:bubble3D val="0"/>
            <c:spPr>
              <a:gradFill rotWithShape="0">
                <a:gsLst>
                  <a:gs pos="0">
                    <a:srgbClr val="B6D1FF"/>
                  </a:gs>
                  <a:gs pos="100000">
                    <a:srgbClr val="8AA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6-DBF4-A249-A03B-455C8B1F3CF4}"/>
              </c:ext>
            </c:extLst>
          </c:dPt>
          <c:dPt>
            <c:idx val="7"/>
            <c:invertIfNegative val="0"/>
            <c:bubble3D val="0"/>
            <c:spPr>
              <a:gradFill rotWithShape="0">
                <a:gsLst>
                  <a:gs pos="0">
                    <a:srgbClr val="FFB6B4"/>
                  </a:gs>
                  <a:gs pos="100000">
                    <a:srgbClr val="DA8A8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DBF4-A249-A03B-455C8B1F3CF4}"/>
              </c:ext>
            </c:extLst>
          </c:dPt>
          <c:dPt>
            <c:idx val="8"/>
            <c:invertIfNegative val="0"/>
            <c:bubble3D val="0"/>
            <c:spPr>
              <a:gradFill rotWithShape="0">
                <a:gsLst>
                  <a:gs pos="0">
                    <a:srgbClr val="E4FFBA"/>
                  </a:gs>
                  <a:gs pos="100000">
                    <a:srgbClr val="BBD68E"/>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DBF4-A249-A03B-455C8B1F3CF4}"/>
              </c:ext>
            </c:extLst>
          </c:dPt>
          <c:dPt>
            <c:idx val="9"/>
            <c:invertIfNegative val="0"/>
            <c:bubble3D val="0"/>
            <c:spPr>
              <a:gradFill rotWithShape="0">
                <a:gsLst>
                  <a:gs pos="0">
                    <a:srgbClr val="D6C5F1"/>
                  </a:gs>
                  <a:gs pos="100000">
                    <a:srgbClr val="A896C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DBF4-A249-A03B-455C8B1F3CF4}"/>
              </c:ext>
            </c:extLst>
          </c:dPt>
          <c:dPt>
            <c:idx val="10"/>
            <c:invertIfNegative val="0"/>
            <c:bubble3D val="0"/>
            <c:spPr>
              <a:gradFill rotWithShape="0">
                <a:gsLst>
                  <a:gs pos="0">
                    <a:srgbClr val="B2F1FF"/>
                  </a:gs>
                  <a:gs pos="100000">
                    <a:srgbClr val="87C8DF"/>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DBF4-A249-A03B-455C8B1F3CF4}"/>
              </c:ext>
            </c:extLst>
          </c:dPt>
          <c:cat>
            <c:strRef>
              <c:f>'Data Reduction Engine'!$B$864:$B$874</c:f>
              <c:strCache>
                <c:ptCount val="11"/>
                <c:pt idx="0">
                  <c:v>(206/205)m</c:v>
                </c:pt>
                <c:pt idx="1">
                  <c:v>(207/206)m</c:v>
                </c:pt>
                <c:pt idx="2">
                  <c:v>(204/206)m</c:v>
                </c:pt>
                <c:pt idx="3">
                  <c:v>FPb</c:v>
                </c:pt>
                <c:pt idx="4">
                  <c:v>206Pb blank</c:v>
                </c:pt>
                <c:pt idx="5">
                  <c:v>(206/204)b</c:v>
                </c:pt>
                <c:pt idx="6">
                  <c:v>(207/206)c</c:v>
                </c:pt>
                <c:pt idx="7">
                  <c:v>(206/204)c</c:v>
                </c:pt>
                <c:pt idx="8">
                  <c:v>(206/205)t</c:v>
                </c:pt>
                <c:pt idx="9">
                  <c:v>(207/206)t</c:v>
                </c:pt>
                <c:pt idx="10">
                  <c:v>(204/205)t</c:v>
                </c:pt>
              </c:strCache>
            </c:strRef>
          </c:cat>
          <c:val>
            <c:numRef>
              <c:f>'Data Reduction Engine'!$AD$864:$AD$874</c:f>
              <c:numCache>
                <c:formatCode>0.00%</c:formatCode>
                <c:ptCount val="11"/>
                <c:pt idx="0">
                  <c:v>7.5482644715948594E-10</c:v>
                </c:pt>
                <c:pt idx="1">
                  <c:v>8.0465570038331592E-8</c:v>
                </c:pt>
                <c:pt idx="2">
                  <c:v>2.9987510153689712E-4</c:v>
                </c:pt>
                <c:pt idx="3">
                  <c:v>0.99919803436084154</c:v>
                </c:pt>
                <c:pt idx="4">
                  <c:v>3.1457947031098334E-8</c:v>
                </c:pt>
                <c:pt idx="5">
                  <c:v>9.0986224860007959E-5</c:v>
                </c:pt>
                <c:pt idx="6">
                  <c:v>2.3226724428997204E-4</c:v>
                </c:pt>
                <c:pt idx="7">
                  <c:v>1.755368573837497E-4</c:v>
                </c:pt>
                <c:pt idx="8">
                  <c:v>1.2897671149712021E-7</c:v>
                </c:pt>
                <c:pt idx="9">
                  <c:v>3.6348039313388677E-13</c:v>
                </c:pt>
                <c:pt idx="10">
                  <c:v>3.0585556693281112E-6</c:v>
                </c:pt>
              </c:numCache>
            </c:numRef>
          </c:val>
          <c:extLst>
            <c:ext xmlns:c16="http://schemas.microsoft.com/office/drawing/2014/chart" uri="{C3380CC4-5D6E-409C-BE32-E72D297353CC}">
              <c16:uniqueId val="{0000000B-DBF4-A249-A03B-455C8B1F3CF4}"/>
            </c:ext>
          </c:extLst>
        </c:ser>
        <c:dLbls>
          <c:showLegendKey val="0"/>
          <c:showVal val="0"/>
          <c:showCatName val="0"/>
          <c:showSerName val="0"/>
          <c:showPercent val="0"/>
          <c:showBubbleSize val="0"/>
        </c:dLbls>
        <c:gapWidth val="0"/>
        <c:axId val="1050959760"/>
        <c:axId val="1"/>
      </c:barChart>
      <c:catAx>
        <c:axId val="1050959760"/>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509597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8876896485500305"/>
          <c:y val="0.15778546712802805"/>
          <c:w val="0.76535740349529513"/>
          <c:h val="0.59972318339100306"/>
        </c:manualLayout>
      </c:layout>
      <c:barChart>
        <c:barDir val="col"/>
        <c:grouping val="clustered"/>
        <c:varyColors val="1"/>
        <c:ser>
          <c:idx val="0"/>
          <c:order val="0"/>
          <c:tx>
            <c:strRef>
              <c:f>'Data Reduction Engine'!$AE$5</c:f>
              <c:strCache>
                <c:ptCount val="1"/>
                <c:pt idx="0">
                  <c:v>z5</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5BFF0"/>
                  </a:gs>
                  <a:gs pos="100000">
                    <a:srgbClr val="3268A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C1DC-AC44-ACCC-206EE4E3682F}"/>
              </c:ext>
            </c:extLst>
          </c:dPt>
          <c:dPt>
            <c:idx val="1"/>
            <c:invertIfNegative val="0"/>
            <c:bubble3D val="0"/>
            <c:spPr>
              <a:gradFill rotWithShape="0">
                <a:gsLst>
                  <a:gs pos="0">
                    <a:srgbClr val="F2A5A4"/>
                  </a:gs>
                  <a:gs pos="100000">
                    <a:srgbClr val="AD333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C1DC-AC44-ACCC-206EE4E3682F}"/>
              </c:ext>
            </c:extLst>
          </c:dPt>
          <c:dPt>
            <c:idx val="2"/>
            <c:invertIfNegative val="0"/>
            <c:bubble3D val="0"/>
            <c:spPr>
              <a:gradFill rotWithShape="0">
                <a:gsLst>
                  <a:gs pos="0">
                    <a:srgbClr val="D1EDA8"/>
                  </a:gs>
                  <a:gs pos="100000">
                    <a:srgbClr val="83A6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C1DC-AC44-ACCC-206EE4E3682F}"/>
              </c:ext>
            </c:extLst>
          </c:dPt>
          <c:dPt>
            <c:idx val="3"/>
            <c:invertIfNegative val="0"/>
            <c:bubble3D val="0"/>
            <c:spPr>
              <a:gradFill rotWithShape="0">
                <a:gsLst>
                  <a:gs pos="0">
                    <a:srgbClr val="C4B4DD"/>
                  </a:gs>
                  <a:gs pos="100000">
                    <a:srgbClr val="68498D"/>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C1DC-AC44-ACCC-206EE4E3682F}"/>
              </c:ext>
            </c:extLst>
          </c:dPt>
          <c:dPt>
            <c:idx val="4"/>
            <c:invertIfNegative val="0"/>
            <c:bubble3D val="0"/>
            <c:spPr>
              <a:gradFill rotWithShape="0">
                <a:gsLst>
                  <a:gs pos="0">
                    <a:srgbClr val="A1DDF6"/>
                  </a:gs>
                  <a:gs pos="100000">
                    <a:srgbClr val="2D96B3"/>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C1DC-AC44-ACCC-206EE4E3682F}"/>
              </c:ext>
            </c:extLst>
          </c:dPt>
          <c:dPt>
            <c:idx val="5"/>
            <c:invertIfNegative val="0"/>
            <c:bubble3D val="0"/>
            <c:spPr>
              <a:gradFill rotWithShape="0">
                <a:gsLst>
                  <a:gs pos="0">
                    <a:srgbClr val="FFB88C"/>
                  </a:gs>
                  <a:gs pos="100000">
                    <a:srgbClr val="E2792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C1DC-AC44-ACCC-206EE4E3682F}"/>
              </c:ext>
            </c:extLst>
          </c:dPt>
          <c:dPt>
            <c:idx val="6"/>
            <c:invertIfNegative val="0"/>
            <c:bubble3D val="0"/>
            <c:extLst>
              <c:ext xmlns:c16="http://schemas.microsoft.com/office/drawing/2014/chart" uri="{C3380CC4-5D6E-409C-BE32-E72D297353CC}">
                <c16:uniqueId val="{00000006-C1DC-AC44-ACCC-206EE4E3682F}"/>
              </c:ext>
            </c:extLst>
          </c:dPt>
          <c:dPt>
            <c:idx val="7"/>
            <c:invertIfNegative val="0"/>
            <c:bubble3D val="0"/>
            <c:spPr>
              <a:gradFill rotWithShape="0">
                <a:gsLst>
                  <a:gs pos="0">
                    <a:srgbClr val="FF9A99"/>
                  </a:gs>
                  <a:gs pos="100000">
                    <a:srgbClr val="D140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C1DC-AC44-ACCC-206EE4E3682F}"/>
              </c:ext>
            </c:extLst>
          </c:dPt>
          <c:dPt>
            <c:idx val="8"/>
            <c:invertIfNegative val="0"/>
            <c:bubble3D val="0"/>
            <c:spPr>
              <a:gradFill rotWithShape="0">
                <a:gsLst>
                  <a:gs pos="0">
                    <a:srgbClr val="DCFFA0"/>
                  </a:gs>
                  <a:gs pos="100000">
                    <a:srgbClr val="A0CA4A"/>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C1DC-AC44-ACCC-206EE4E3682F}"/>
              </c:ext>
            </c:extLst>
          </c:dPt>
          <c:dPt>
            <c:idx val="9"/>
            <c:invertIfNegative val="0"/>
            <c:bubble3D val="0"/>
            <c:spPr>
              <a:gradFill rotWithShape="0">
                <a:gsLst>
                  <a:gs pos="0">
                    <a:srgbClr val="C8B0ED"/>
                  </a:gs>
                  <a:gs pos="100000">
                    <a:srgbClr val="7F5BA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C1DC-AC44-ACCC-206EE4E3682F}"/>
              </c:ext>
            </c:extLst>
          </c:dPt>
          <c:dPt>
            <c:idx val="10"/>
            <c:invertIfNegative val="0"/>
            <c:bubble3D val="0"/>
            <c:spPr>
              <a:gradFill rotWithShape="0">
                <a:gsLst>
                  <a:gs pos="0">
                    <a:srgbClr val="95EEFF"/>
                  </a:gs>
                  <a:gs pos="100000">
                    <a:srgbClr val="39B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C1DC-AC44-ACCC-206EE4E3682F}"/>
              </c:ext>
            </c:extLst>
          </c:dPt>
          <c:dPt>
            <c:idx val="11"/>
            <c:invertIfNegative val="0"/>
            <c:bubble3D val="0"/>
            <c:spPr>
              <a:gradFill rotWithShape="0">
                <a:gsLst>
                  <a:gs pos="0">
                    <a:srgbClr val="FFB977"/>
                  </a:gs>
                  <a:gs pos="100000">
                    <a:srgbClr val="FF932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B-C1DC-AC44-ACCC-206EE4E3682F}"/>
              </c:ext>
            </c:extLst>
          </c:dPt>
          <c:cat>
            <c:strRef>
              <c:f>'Data Reduction Engine'!$B$838:$B$849</c:f>
              <c:strCache>
                <c:ptCount val="12"/>
                <c:pt idx="0">
                  <c:v>(206/205)m</c:v>
                </c:pt>
                <c:pt idx="1">
                  <c:v>(204/206)m</c:v>
                </c:pt>
                <c:pt idx="2">
                  <c:v>FPb</c:v>
                </c:pt>
                <c:pt idx="3">
                  <c:v>206Pb blank</c:v>
                </c:pt>
                <c:pt idx="4">
                  <c:v>(206/204)b</c:v>
                </c:pt>
                <c:pt idx="5">
                  <c:v>(206/204)c</c:v>
                </c:pt>
                <c:pt idx="6">
                  <c:v>(238/235)m</c:v>
                </c:pt>
                <c:pt idx="7">
                  <c:v>FU</c:v>
                </c:pt>
                <c:pt idx="8">
                  <c:v>238U blank</c:v>
                </c:pt>
                <c:pt idx="9">
                  <c:v>(Th/U)zircon</c:v>
                </c:pt>
                <c:pt idx="10">
                  <c:v>(Th/U)magma</c:v>
                </c:pt>
                <c:pt idx="11">
                  <c:v>(Th/U)initial</c:v>
                </c:pt>
              </c:strCache>
            </c:strRef>
          </c:cat>
          <c:val>
            <c:numRef>
              <c:f>'Data Reduction Engine'!$AE$838:$AE$849</c:f>
              <c:numCache>
                <c:formatCode>0.00%</c:formatCode>
                <c:ptCount val="12"/>
                <c:pt idx="0">
                  <c:v>0.28480026815019033</c:v>
                </c:pt>
                <c:pt idx="1">
                  <c:v>7.9262161727669835E-6</c:v>
                </c:pt>
                <c:pt idx="2">
                  <c:v>0.411068723796854</c:v>
                </c:pt>
                <c:pt idx="3">
                  <c:v>4.2665153759420549E-6</c:v>
                </c:pt>
                <c:pt idx="4">
                  <c:v>3.1124649090169961E-6</c:v>
                </c:pt>
                <c:pt idx="5">
                  <c:v>7.1721369390553695E-5</c:v>
                </c:pt>
                <c:pt idx="6">
                  <c:v>1.6105112720344338E-2</c:v>
                </c:pt>
                <c:pt idx="7">
                  <c:v>0.28759670752524435</c:v>
                </c:pt>
                <c:pt idx="8">
                  <c:v>3.3280604666981119E-4</c:v>
                </c:pt>
                <c:pt idx="9">
                  <c:v>1.3835071183074684E-10</c:v>
                </c:pt>
                <c:pt idx="10">
                  <c:v>8.5826206404553464E-6</c:v>
                </c:pt>
                <c:pt idx="11">
                  <c:v>7.7243585764098081E-7</c:v>
                </c:pt>
              </c:numCache>
            </c:numRef>
          </c:val>
          <c:extLst>
            <c:ext xmlns:c16="http://schemas.microsoft.com/office/drawing/2014/chart" uri="{C3380CC4-5D6E-409C-BE32-E72D297353CC}">
              <c16:uniqueId val="{0000000C-C1DC-AC44-ACCC-206EE4E3682F}"/>
            </c:ext>
          </c:extLst>
        </c:ser>
        <c:dLbls>
          <c:showLegendKey val="0"/>
          <c:showVal val="0"/>
          <c:showCatName val="0"/>
          <c:showSerName val="0"/>
          <c:showPercent val="0"/>
          <c:showBubbleSize val="0"/>
        </c:dLbls>
        <c:gapWidth val="0"/>
        <c:axId val="1051331632"/>
        <c:axId val="1"/>
      </c:barChart>
      <c:catAx>
        <c:axId val="1051331632"/>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513316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5225657768388698"/>
          <c:y val="0.15833333333333305"/>
          <c:w val="0.68669982715575228"/>
          <c:h val="0.64123496281714798"/>
        </c:manualLayout>
      </c:layout>
      <c:barChart>
        <c:barDir val="col"/>
        <c:grouping val="clustered"/>
        <c:varyColors val="1"/>
        <c:ser>
          <c:idx val="0"/>
          <c:order val="0"/>
          <c:tx>
            <c:strRef>
              <c:f>'Data Reduction Engine'!$AE$5</c:f>
              <c:strCache>
                <c:ptCount val="1"/>
                <c:pt idx="0">
                  <c:v>z5</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2BFF8"/>
                  </a:gs>
                  <a:gs pos="100000">
                    <a:srgbClr val="3670B6"/>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D162-B94F-B90A-0F1C458AA38A}"/>
              </c:ext>
            </c:extLst>
          </c:dPt>
          <c:dPt>
            <c:idx val="1"/>
            <c:invertIfNegative val="0"/>
            <c:bubble3D val="0"/>
            <c:spPr>
              <a:gradFill rotWithShape="0">
                <a:gsLst>
                  <a:gs pos="0">
                    <a:srgbClr val="FAA1A0"/>
                  </a:gs>
                  <a:gs pos="100000">
                    <a:srgbClr val="B93734"/>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D162-B94F-B90A-0F1C458AA38A}"/>
              </c:ext>
            </c:extLst>
          </c:dPt>
          <c:dPt>
            <c:idx val="2"/>
            <c:invertIfNegative val="0"/>
            <c:bubble3D val="0"/>
            <c:spPr>
              <a:gradFill rotWithShape="0">
                <a:gsLst>
                  <a:gs pos="0">
                    <a:srgbClr val="D4F4A6"/>
                  </a:gs>
                  <a:gs pos="100000">
                    <a:srgbClr val="8DB241"/>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D162-B94F-B90A-0F1C458AA38A}"/>
              </c:ext>
            </c:extLst>
          </c:dPt>
          <c:dPt>
            <c:idx val="3"/>
            <c:invertIfNegative val="0"/>
            <c:bubble3D val="0"/>
            <c:spPr>
              <a:gradFill rotWithShape="0">
                <a:gsLst>
                  <a:gs pos="0">
                    <a:srgbClr val="C5B3E2"/>
                  </a:gs>
                  <a:gs pos="100000">
                    <a:srgbClr val="704F97"/>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D162-B94F-B90A-0F1C458AA38A}"/>
              </c:ext>
            </c:extLst>
          </c:dPt>
          <c:dPt>
            <c:idx val="4"/>
            <c:invertIfNegative val="0"/>
            <c:bubble3D val="0"/>
            <c:spPr>
              <a:gradFill rotWithShape="0">
                <a:gsLst>
                  <a:gs pos="0">
                    <a:srgbClr val="9DE2FF"/>
                  </a:gs>
                  <a:gs pos="100000">
                    <a:srgbClr val="31A1C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D162-B94F-B90A-0F1C458AA38A}"/>
              </c:ext>
            </c:extLst>
          </c:dPt>
          <c:dPt>
            <c:idx val="5"/>
            <c:invertIfNegative val="0"/>
            <c:bubble3D val="0"/>
            <c:spPr>
              <a:gradFill rotWithShape="0">
                <a:gsLst>
                  <a:gs pos="0">
                    <a:srgbClr val="FFB885"/>
                  </a:gs>
                  <a:gs pos="100000">
                    <a:srgbClr val="F28225"/>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D162-B94F-B90A-0F1C458AA38A}"/>
              </c:ext>
            </c:extLst>
          </c:dPt>
          <c:dPt>
            <c:idx val="6"/>
            <c:invertIfNegative val="0"/>
            <c:bubble3D val="0"/>
            <c:spPr>
              <a:gradFill rotWithShape="0">
                <a:gsLst>
                  <a:gs pos="0">
                    <a:srgbClr val="B6D1FF"/>
                  </a:gs>
                  <a:gs pos="100000">
                    <a:srgbClr val="8AA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6-D162-B94F-B90A-0F1C458AA38A}"/>
              </c:ext>
            </c:extLst>
          </c:dPt>
          <c:dPt>
            <c:idx val="7"/>
            <c:invertIfNegative val="0"/>
            <c:bubble3D val="0"/>
            <c:spPr>
              <a:gradFill rotWithShape="0">
                <a:gsLst>
                  <a:gs pos="0">
                    <a:srgbClr val="FFB6B4"/>
                  </a:gs>
                  <a:gs pos="100000">
                    <a:srgbClr val="DA8A8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D162-B94F-B90A-0F1C458AA38A}"/>
              </c:ext>
            </c:extLst>
          </c:dPt>
          <c:dPt>
            <c:idx val="8"/>
            <c:invertIfNegative val="0"/>
            <c:bubble3D val="0"/>
            <c:spPr>
              <a:gradFill rotWithShape="0">
                <a:gsLst>
                  <a:gs pos="0">
                    <a:srgbClr val="E4FFBA"/>
                  </a:gs>
                  <a:gs pos="100000">
                    <a:srgbClr val="BBD68E"/>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D162-B94F-B90A-0F1C458AA38A}"/>
              </c:ext>
            </c:extLst>
          </c:dPt>
          <c:dPt>
            <c:idx val="9"/>
            <c:invertIfNegative val="0"/>
            <c:bubble3D val="0"/>
            <c:spPr>
              <a:gradFill rotWithShape="0">
                <a:gsLst>
                  <a:gs pos="0">
                    <a:srgbClr val="D6C5F1"/>
                  </a:gs>
                  <a:gs pos="100000">
                    <a:srgbClr val="A896C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D162-B94F-B90A-0F1C458AA38A}"/>
              </c:ext>
            </c:extLst>
          </c:dPt>
          <c:dPt>
            <c:idx val="10"/>
            <c:invertIfNegative val="0"/>
            <c:bubble3D val="0"/>
            <c:spPr>
              <a:gradFill rotWithShape="0">
                <a:gsLst>
                  <a:gs pos="0">
                    <a:srgbClr val="B2F1FF"/>
                  </a:gs>
                  <a:gs pos="100000">
                    <a:srgbClr val="87C8DF"/>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D162-B94F-B90A-0F1C458AA38A}"/>
              </c:ext>
            </c:extLst>
          </c:dPt>
          <c:cat>
            <c:strRef>
              <c:f>'Data Reduction Engine'!$B$864:$B$874</c:f>
              <c:strCache>
                <c:ptCount val="11"/>
                <c:pt idx="0">
                  <c:v>(206/205)m</c:v>
                </c:pt>
                <c:pt idx="1">
                  <c:v>(207/206)m</c:v>
                </c:pt>
                <c:pt idx="2">
                  <c:v>(204/206)m</c:v>
                </c:pt>
                <c:pt idx="3">
                  <c:v>FPb</c:v>
                </c:pt>
                <c:pt idx="4">
                  <c:v>206Pb blank</c:v>
                </c:pt>
                <c:pt idx="5">
                  <c:v>(206/204)b</c:v>
                </c:pt>
                <c:pt idx="6">
                  <c:v>(207/206)c</c:v>
                </c:pt>
                <c:pt idx="7">
                  <c:v>(206/204)c</c:v>
                </c:pt>
                <c:pt idx="8">
                  <c:v>(206/205)t</c:v>
                </c:pt>
                <c:pt idx="9">
                  <c:v>(207/206)t</c:v>
                </c:pt>
                <c:pt idx="10">
                  <c:v>(204/205)t</c:v>
                </c:pt>
              </c:strCache>
            </c:strRef>
          </c:cat>
          <c:val>
            <c:numRef>
              <c:f>'Data Reduction Engine'!$AE$864:$AE$874</c:f>
              <c:numCache>
                <c:formatCode>0.00%</c:formatCode>
                <c:ptCount val="11"/>
                <c:pt idx="0">
                  <c:v>9.3659507145062975E-10</c:v>
                </c:pt>
                <c:pt idx="1">
                  <c:v>6.022889518150028E-8</c:v>
                </c:pt>
                <c:pt idx="2">
                  <c:v>2.872713370276609E-4</c:v>
                </c:pt>
                <c:pt idx="3">
                  <c:v>0.99919590418152071</c:v>
                </c:pt>
                <c:pt idx="4">
                  <c:v>3.7416045890986572E-8</c:v>
                </c:pt>
                <c:pt idx="5">
                  <c:v>1.1280564854350395E-4</c:v>
                </c:pt>
                <c:pt idx="6">
                  <c:v>2.2930015792883612E-4</c:v>
                </c:pt>
                <c:pt idx="7">
                  <c:v>1.7286368063688991E-4</c:v>
                </c:pt>
                <c:pt idx="8">
                  <c:v>7.1066615397945783E-8</c:v>
                </c:pt>
                <c:pt idx="9">
                  <c:v>2.0015880515109078E-13</c:v>
                </c:pt>
                <c:pt idx="10">
                  <c:v>1.6853459907600651E-6</c:v>
                </c:pt>
              </c:numCache>
            </c:numRef>
          </c:val>
          <c:extLst>
            <c:ext xmlns:c16="http://schemas.microsoft.com/office/drawing/2014/chart" uri="{C3380CC4-5D6E-409C-BE32-E72D297353CC}">
              <c16:uniqueId val="{0000000B-D162-B94F-B90A-0F1C458AA38A}"/>
            </c:ext>
          </c:extLst>
        </c:ser>
        <c:dLbls>
          <c:showLegendKey val="0"/>
          <c:showVal val="0"/>
          <c:showCatName val="0"/>
          <c:showSerName val="0"/>
          <c:showPercent val="0"/>
          <c:showBubbleSize val="0"/>
        </c:dLbls>
        <c:gapWidth val="0"/>
        <c:axId val="1050723600"/>
        <c:axId val="1"/>
      </c:barChart>
      <c:catAx>
        <c:axId val="1050723600"/>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507236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8876896485500305"/>
          <c:y val="0.15778546712802805"/>
          <c:w val="0.76535740349529513"/>
          <c:h val="0.59972318339100306"/>
        </c:manualLayout>
      </c:layout>
      <c:barChart>
        <c:barDir val="col"/>
        <c:grouping val="clustered"/>
        <c:varyColors val="1"/>
        <c:ser>
          <c:idx val="0"/>
          <c:order val="0"/>
          <c:tx>
            <c:strRef>
              <c:f>'Data Reduction Engine'!$AF$5</c:f>
              <c:strCache>
                <c:ptCount val="1"/>
                <c:pt idx="0">
                  <c:v>z6</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5BFF0"/>
                  </a:gs>
                  <a:gs pos="100000">
                    <a:srgbClr val="3268A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0CC7-7448-88B7-BFD668437C4B}"/>
              </c:ext>
            </c:extLst>
          </c:dPt>
          <c:dPt>
            <c:idx val="1"/>
            <c:invertIfNegative val="0"/>
            <c:bubble3D val="0"/>
            <c:spPr>
              <a:gradFill rotWithShape="0">
                <a:gsLst>
                  <a:gs pos="0">
                    <a:srgbClr val="F2A5A4"/>
                  </a:gs>
                  <a:gs pos="100000">
                    <a:srgbClr val="AD333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0CC7-7448-88B7-BFD668437C4B}"/>
              </c:ext>
            </c:extLst>
          </c:dPt>
          <c:dPt>
            <c:idx val="2"/>
            <c:invertIfNegative val="0"/>
            <c:bubble3D val="0"/>
            <c:spPr>
              <a:gradFill rotWithShape="0">
                <a:gsLst>
                  <a:gs pos="0">
                    <a:srgbClr val="D1EDA8"/>
                  </a:gs>
                  <a:gs pos="100000">
                    <a:srgbClr val="83A6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0CC7-7448-88B7-BFD668437C4B}"/>
              </c:ext>
            </c:extLst>
          </c:dPt>
          <c:dPt>
            <c:idx val="3"/>
            <c:invertIfNegative val="0"/>
            <c:bubble3D val="0"/>
            <c:spPr>
              <a:gradFill rotWithShape="0">
                <a:gsLst>
                  <a:gs pos="0">
                    <a:srgbClr val="C4B4DD"/>
                  </a:gs>
                  <a:gs pos="100000">
                    <a:srgbClr val="68498D"/>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0CC7-7448-88B7-BFD668437C4B}"/>
              </c:ext>
            </c:extLst>
          </c:dPt>
          <c:dPt>
            <c:idx val="4"/>
            <c:invertIfNegative val="0"/>
            <c:bubble3D val="0"/>
            <c:spPr>
              <a:gradFill rotWithShape="0">
                <a:gsLst>
                  <a:gs pos="0">
                    <a:srgbClr val="A1DDF6"/>
                  </a:gs>
                  <a:gs pos="100000">
                    <a:srgbClr val="2D96B3"/>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0CC7-7448-88B7-BFD668437C4B}"/>
              </c:ext>
            </c:extLst>
          </c:dPt>
          <c:dPt>
            <c:idx val="5"/>
            <c:invertIfNegative val="0"/>
            <c:bubble3D val="0"/>
            <c:spPr>
              <a:gradFill rotWithShape="0">
                <a:gsLst>
                  <a:gs pos="0">
                    <a:srgbClr val="FFB88C"/>
                  </a:gs>
                  <a:gs pos="100000">
                    <a:srgbClr val="E2792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0CC7-7448-88B7-BFD668437C4B}"/>
              </c:ext>
            </c:extLst>
          </c:dPt>
          <c:dPt>
            <c:idx val="6"/>
            <c:invertIfNegative val="0"/>
            <c:bubble3D val="0"/>
            <c:extLst>
              <c:ext xmlns:c16="http://schemas.microsoft.com/office/drawing/2014/chart" uri="{C3380CC4-5D6E-409C-BE32-E72D297353CC}">
                <c16:uniqueId val="{00000006-0CC7-7448-88B7-BFD668437C4B}"/>
              </c:ext>
            </c:extLst>
          </c:dPt>
          <c:dPt>
            <c:idx val="7"/>
            <c:invertIfNegative val="0"/>
            <c:bubble3D val="0"/>
            <c:spPr>
              <a:gradFill rotWithShape="0">
                <a:gsLst>
                  <a:gs pos="0">
                    <a:srgbClr val="FF9A99"/>
                  </a:gs>
                  <a:gs pos="100000">
                    <a:srgbClr val="D140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0CC7-7448-88B7-BFD668437C4B}"/>
              </c:ext>
            </c:extLst>
          </c:dPt>
          <c:dPt>
            <c:idx val="8"/>
            <c:invertIfNegative val="0"/>
            <c:bubble3D val="0"/>
            <c:spPr>
              <a:gradFill rotWithShape="0">
                <a:gsLst>
                  <a:gs pos="0">
                    <a:srgbClr val="DCFFA0"/>
                  </a:gs>
                  <a:gs pos="100000">
                    <a:srgbClr val="A0CA4A"/>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0CC7-7448-88B7-BFD668437C4B}"/>
              </c:ext>
            </c:extLst>
          </c:dPt>
          <c:dPt>
            <c:idx val="9"/>
            <c:invertIfNegative val="0"/>
            <c:bubble3D val="0"/>
            <c:spPr>
              <a:gradFill rotWithShape="0">
                <a:gsLst>
                  <a:gs pos="0">
                    <a:srgbClr val="C8B0ED"/>
                  </a:gs>
                  <a:gs pos="100000">
                    <a:srgbClr val="7F5BA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0CC7-7448-88B7-BFD668437C4B}"/>
              </c:ext>
            </c:extLst>
          </c:dPt>
          <c:dPt>
            <c:idx val="10"/>
            <c:invertIfNegative val="0"/>
            <c:bubble3D val="0"/>
            <c:spPr>
              <a:gradFill rotWithShape="0">
                <a:gsLst>
                  <a:gs pos="0">
                    <a:srgbClr val="95EEFF"/>
                  </a:gs>
                  <a:gs pos="100000">
                    <a:srgbClr val="39B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0CC7-7448-88B7-BFD668437C4B}"/>
              </c:ext>
            </c:extLst>
          </c:dPt>
          <c:dPt>
            <c:idx val="11"/>
            <c:invertIfNegative val="0"/>
            <c:bubble3D val="0"/>
            <c:spPr>
              <a:gradFill rotWithShape="0">
                <a:gsLst>
                  <a:gs pos="0">
                    <a:srgbClr val="FFB977"/>
                  </a:gs>
                  <a:gs pos="100000">
                    <a:srgbClr val="FF932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B-0CC7-7448-88B7-BFD668437C4B}"/>
              </c:ext>
            </c:extLst>
          </c:dPt>
          <c:cat>
            <c:strRef>
              <c:f>'Data Reduction Engine'!$B$838:$B$849</c:f>
              <c:strCache>
                <c:ptCount val="12"/>
                <c:pt idx="0">
                  <c:v>(206/205)m</c:v>
                </c:pt>
                <c:pt idx="1">
                  <c:v>(204/206)m</c:v>
                </c:pt>
                <c:pt idx="2">
                  <c:v>FPb</c:v>
                </c:pt>
                <c:pt idx="3">
                  <c:v>206Pb blank</c:v>
                </c:pt>
                <c:pt idx="4">
                  <c:v>(206/204)b</c:v>
                </c:pt>
                <c:pt idx="5">
                  <c:v>(206/204)c</c:v>
                </c:pt>
                <c:pt idx="6">
                  <c:v>(238/235)m</c:v>
                </c:pt>
                <c:pt idx="7">
                  <c:v>FU</c:v>
                </c:pt>
                <c:pt idx="8">
                  <c:v>238U blank</c:v>
                </c:pt>
                <c:pt idx="9">
                  <c:v>(Th/U)zircon</c:v>
                </c:pt>
                <c:pt idx="10">
                  <c:v>(Th/U)magma</c:v>
                </c:pt>
                <c:pt idx="11">
                  <c:v>(Th/U)initial</c:v>
                </c:pt>
              </c:strCache>
            </c:strRef>
          </c:cat>
          <c:val>
            <c:numRef>
              <c:f>'Data Reduction Engine'!$AF$838:$AF$849</c:f>
              <c:numCache>
                <c:formatCode>0.00%</c:formatCode>
                <c:ptCount val="12"/>
                <c:pt idx="0">
                  <c:v>0.1734335621963734</c:v>
                </c:pt>
                <c:pt idx="1">
                  <c:v>2.2096466340411003E-5</c:v>
                </c:pt>
                <c:pt idx="2">
                  <c:v>0.50462559159499742</c:v>
                </c:pt>
                <c:pt idx="3">
                  <c:v>5.0313012326544954E-6</c:v>
                </c:pt>
                <c:pt idx="4">
                  <c:v>3.6703837097676873E-6</c:v>
                </c:pt>
                <c:pt idx="5">
                  <c:v>2.4402794215962027E-4</c:v>
                </c:pt>
                <c:pt idx="6">
                  <c:v>8.4286119449724223E-3</c:v>
                </c:pt>
                <c:pt idx="7">
                  <c:v>0.31284004041398733</c:v>
                </c:pt>
                <c:pt idx="8">
                  <c:v>3.8938671946523227E-4</c:v>
                </c:pt>
                <c:pt idx="9">
                  <c:v>1.2287421459824897E-10</c:v>
                </c:pt>
                <c:pt idx="10">
                  <c:v>7.3219393463191056E-6</c:v>
                </c:pt>
                <c:pt idx="11">
                  <c:v>6.589745411687199E-7</c:v>
                </c:pt>
              </c:numCache>
            </c:numRef>
          </c:val>
          <c:extLst>
            <c:ext xmlns:c16="http://schemas.microsoft.com/office/drawing/2014/chart" uri="{C3380CC4-5D6E-409C-BE32-E72D297353CC}">
              <c16:uniqueId val="{0000000C-0CC7-7448-88B7-BFD668437C4B}"/>
            </c:ext>
          </c:extLst>
        </c:ser>
        <c:dLbls>
          <c:showLegendKey val="0"/>
          <c:showVal val="0"/>
          <c:showCatName val="0"/>
          <c:showSerName val="0"/>
          <c:showPercent val="0"/>
          <c:showBubbleSize val="0"/>
        </c:dLbls>
        <c:gapWidth val="0"/>
        <c:axId val="1051615504"/>
        <c:axId val="1"/>
      </c:barChart>
      <c:catAx>
        <c:axId val="1051615504"/>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516155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5225657768388698"/>
          <c:y val="0.15833333333333305"/>
          <c:w val="0.68669982715575228"/>
          <c:h val="0.64123496281714798"/>
        </c:manualLayout>
      </c:layout>
      <c:barChart>
        <c:barDir val="col"/>
        <c:grouping val="clustered"/>
        <c:varyColors val="1"/>
        <c:ser>
          <c:idx val="0"/>
          <c:order val="0"/>
          <c:tx>
            <c:strRef>
              <c:f>'Data Reduction Engine'!$E$5</c:f>
              <c:strCache>
                <c:ptCount val="1"/>
                <c:pt idx="0">
                  <c:v>15WZ1-2 t3a</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2BFF8"/>
                  </a:gs>
                  <a:gs pos="100000">
                    <a:srgbClr val="3670B6"/>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F898-D748-9C5D-14570F8790B3}"/>
              </c:ext>
            </c:extLst>
          </c:dPt>
          <c:dPt>
            <c:idx val="1"/>
            <c:invertIfNegative val="0"/>
            <c:bubble3D val="0"/>
            <c:spPr>
              <a:gradFill rotWithShape="0">
                <a:gsLst>
                  <a:gs pos="0">
                    <a:srgbClr val="FAA1A0"/>
                  </a:gs>
                  <a:gs pos="100000">
                    <a:srgbClr val="B93734"/>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F898-D748-9C5D-14570F8790B3}"/>
              </c:ext>
            </c:extLst>
          </c:dPt>
          <c:dPt>
            <c:idx val="2"/>
            <c:invertIfNegative val="0"/>
            <c:bubble3D val="0"/>
            <c:spPr>
              <a:gradFill rotWithShape="0">
                <a:gsLst>
                  <a:gs pos="0">
                    <a:srgbClr val="D4F4A6"/>
                  </a:gs>
                  <a:gs pos="100000">
                    <a:srgbClr val="8DB241"/>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F898-D748-9C5D-14570F8790B3}"/>
              </c:ext>
            </c:extLst>
          </c:dPt>
          <c:dPt>
            <c:idx val="3"/>
            <c:invertIfNegative val="0"/>
            <c:bubble3D val="0"/>
            <c:spPr>
              <a:gradFill rotWithShape="0">
                <a:gsLst>
                  <a:gs pos="0">
                    <a:srgbClr val="C5B3E2"/>
                  </a:gs>
                  <a:gs pos="100000">
                    <a:srgbClr val="704F97"/>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F898-D748-9C5D-14570F8790B3}"/>
              </c:ext>
            </c:extLst>
          </c:dPt>
          <c:dPt>
            <c:idx val="4"/>
            <c:invertIfNegative val="0"/>
            <c:bubble3D val="0"/>
            <c:spPr>
              <a:gradFill rotWithShape="0">
                <a:gsLst>
                  <a:gs pos="0">
                    <a:srgbClr val="9DE2FF"/>
                  </a:gs>
                  <a:gs pos="100000">
                    <a:srgbClr val="31A1C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F898-D748-9C5D-14570F8790B3}"/>
              </c:ext>
            </c:extLst>
          </c:dPt>
          <c:dPt>
            <c:idx val="5"/>
            <c:invertIfNegative val="0"/>
            <c:bubble3D val="0"/>
            <c:spPr>
              <a:gradFill rotWithShape="0">
                <a:gsLst>
                  <a:gs pos="0">
                    <a:srgbClr val="FFB885"/>
                  </a:gs>
                  <a:gs pos="100000">
                    <a:srgbClr val="F28225"/>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F898-D748-9C5D-14570F8790B3}"/>
              </c:ext>
            </c:extLst>
          </c:dPt>
          <c:dPt>
            <c:idx val="6"/>
            <c:invertIfNegative val="0"/>
            <c:bubble3D val="0"/>
            <c:spPr>
              <a:gradFill rotWithShape="0">
                <a:gsLst>
                  <a:gs pos="0">
                    <a:srgbClr val="B6D1FF"/>
                  </a:gs>
                  <a:gs pos="100000">
                    <a:srgbClr val="8AA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6-F898-D748-9C5D-14570F8790B3}"/>
              </c:ext>
            </c:extLst>
          </c:dPt>
          <c:dPt>
            <c:idx val="7"/>
            <c:invertIfNegative val="0"/>
            <c:bubble3D val="0"/>
            <c:spPr>
              <a:gradFill rotWithShape="0">
                <a:gsLst>
                  <a:gs pos="0">
                    <a:srgbClr val="FFB6B4"/>
                  </a:gs>
                  <a:gs pos="100000">
                    <a:srgbClr val="DA8A8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F898-D748-9C5D-14570F8790B3}"/>
              </c:ext>
            </c:extLst>
          </c:dPt>
          <c:dPt>
            <c:idx val="8"/>
            <c:invertIfNegative val="0"/>
            <c:bubble3D val="0"/>
            <c:spPr>
              <a:gradFill rotWithShape="0">
                <a:gsLst>
                  <a:gs pos="0">
                    <a:srgbClr val="E4FFBA"/>
                  </a:gs>
                  <a:gs pos="100000">
                    <a:srgbClr val="BBD68E"/>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F898-D748-9C5D-14570F8790B3}"/>
              </c:ext>
            </c:extLst>
          </c:dPt>
          <c:dPt>
            <c:idx val="9"/>
            <c:invertIfNegative val="0"/>
            <c:bubble3D val="0"/>
            <c:spPr>
              <a:gradFill rotWithShape="0">
                <a:gsLst>
                  <a:gs pos="0">
                    <a:srgbClr val="D6C5F1"/>
                  </a:gs>
                  <a:gs pos="100000">
                    <a:srgbClr val="A896C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F898-D748-9C5D-14570F8790B3}"/>
              </c:ext>
            </c:extLst>
          </c:dPt>
          <c:dPt>
            <c:idx val="10"/>
            <c:invertIfNegative val="0"/>
            <c:bubble3D val="0"/>
            <c:spPr>
              <a:gradFill rotWithShape="0">
                <a:gsLst>
                  <a:gs pos="0">
                    <a:srgbClr val="B2F1FF"/>
                  </a:gs>
                  <a:gs pos="100000">
                    <a:srgbClr val="87C8DF"/>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F898-D748-9C5D-14570F8790B3}"/>
              </c:ext>
            </c:extLst>
          </c:dPt>
          <c:cat>
            <c:strRef>
              <c:f>'Data Reduction Engine'!$B$864:$B$874</c:f>
              <c:strCache>
                <c:ptCount val="11"/>
                <c:pt idx="0">
                  <c:v>(206/205)m</c:v>
                </c:pt>
                <c:pt idx="1">
                  <c:v>(207/206)m</c:v>
                </c:pt>
                <c:pt idx="2">
                  <c:v>(204/206)m</c:v>
                </c:pt>
                <c:pt idx="3">
                  <c:v>FPb</c:v>
                </c:pt>
                <c:pt idx="4">
                  <c:v>206Pb blank</c:v>
                </c:pt>
                <c:pt idx="5">
                  <c:v>(206/204)b</c:v>
                </c:pt>
                <c:pt idx="6">
                  <c:v>(207/206)c</c:v>
                </c:pt>
                <c:pt idx="7">
                  <c:v>(206/204)c</c:v>
                </c:pt>
                <c:pt idx="8">
                  <c:v>(206/205)t</c:v>
                </c:pt>
                <c:pt idx="9">
                  <c:v>(207/206)t</c:v>
                </c:pt>
                <c:pt idx="10">
                  <c:v>(204/205)t</c:v>
                </c:pt>
              </c:strCache>
            </c:strRef>
          </c:cat>
          <c:val>
            <c:numRef>
              <c:f>'Data Reduction Engine'!$E$864:$E$874</c:f>
              <c:numCache>
                <c:formatCode>0.00%</c:formatCode>
                <c:ptCount val="11"/>
                <c:pt idx="0">
                  <c:v>4.9089107707924688E-7</c:v>
                </c:pt>
                <c:pt idx="1">
                  <c:v>0.57023027604006682</c:v>
                </c:pt>
                <c:pt idx="2">
                  <c:v>0.11265106096791799</c:v>
                </c:pt>
                <c:pt idx="3">
                  <c:v>9.229691396932356E-2</c:v>
                </c:pt>
                <c:pt idx="4">
                  <c:v>6.8540956366221618E-4</c:v>
                </c:pt>
                <c:pt idx="5">
                  <c:v>2.2479417648423178E-2</c:v>
                </c:pt>
                <c:pt idx="6">
                  <c:v>0.19233328227223453</c:v>
                </c:pt>
                <c:pt idx="7">
                  <c:v>9.0185125632938744E-3</c:v>
                </c:pt>
                <c:pt idx="8">
                  <c:v>1.2074788003422302E-5</c:v>
                </c:pt>
                <c:pt idx="9">
                  <c:v>2.4389904731689663E-11</c:v>
                </c:pt>
                <c:pt idx="10">
                  <c:v>2.9256127160771624E-4</c:v>
                </c:pt>
              </c:numCache>
            </c:numRef>
          </c:val>
          <c:extLst>
            <c:ext xmlns:c16="http://schemas.microsoft.com/office/drawing/2014/chart" uri="{C3380CC4-5D6E-409C-BE32-E72D297353CC}">
              <c16:uniqueId val="{0000000B-F898-D748-9C5D-14570F8790B3}"/>
            </c:ext>
          </c:extLst>
        </c:ser>
        <c:dLbls>
          <c:showLegendKey val="0"/>
          <c:showVal val="0"/>
          <c:showCatName val="0"/>
          <c:showSerName val="0"/>
          <c:showPercent val="0"/>
          <c:showBubbleSize val="0"/>
        </c:dLbls>
        <c:gapWidth val="0"/>
        <c:axId val="1052216368"/>
        <c:axId val="1"/>
      </c:barChart>
      <c:catAx>
        <c:axId val="1052216368"/>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522163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5225657768388698"/>
          <c:y val="0.15833333333333305"/>
          <c:w val="0.68669982715575228"/>
          <c:h val="0.64123496281714798"/>
        </c:manualLayout>
      </c:layout>
      <c:barChart>
        <c:barDir val="col"/>
        <c:grouping val="clustered"/>
        <c:varyColors val="1"/>
        <c:ser>
          <c:idx val="0"/>
          <c:order val="0"/>
          <c:tx>
            <c:strRef>
              <c:f>'Data Reduction Engine'!$AF$5</c:f>
              <c:strCache>
                <c:ptCount val="1"/>
                <c:pt idx="0">
                  <c:v>z6</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2BFF8"/>
                  </a:gs>
                  <a:gs pos="100000">
                    <a:srgbClr val="3670B6"/>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2FCE-CB4E-9846-DB1F0EB0DBC7}"/>
              </c:ext>
            </c:extLst>
          </c:dPt>
          <c:dPt>
            <c:idx val="1"/>
            <c:invertIfNegative val="0"/>
            <c:bubble3D val="0"/>
            <c:spPr>
              <a:gradFill rotWithShape="0">
                <a:gsLst>
                  <a:gs pos="0">
                    <a:srgbClr val="FAA1A0"/>
                  </a:gs>
                  <a:gs pos="100000">
                    <a:srgbClr val="B93734"/>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2FCE-CB4E-9846-DB1F0EB0DBC7}"/>
              </c:ext>
            </c:extLst>
          </c:dPt>
          <c:dPt>
            <c:idx val="2"/>
            <c:invertIfNegative val="0"/>
            <c:bubble3D val="0"/>
            <c:spPr>
              <a:gradFill rotWithShape="0">
                <a:gsLst>
                  <a:gs pos="0">
                    <a:srgbClr val="D4F4A6"/>
                  </a:gs>
                  <a:gs pos="100000">
                    <a:srgbClr val="8DB241"/>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2FCE-CB4E-9846-DB1F0EB0DBC7}"/>
              </c:ext>
            </c:extLst>
          </c:dPt>
          <c:dPt>
            <c:idx val="3"/>
            <c:invertIfNegative val="0"/>
            <c:bubble3D val="0"/>
            <c:spPr>
              <a:gradFill rotWithShape="0">
                <a:gsLst>
                  <a:gs pos="0">
                    <a:srgbClr val="C5B3E2"/>
                  </a:gs>
                  <a:gs pos="100000">
                    <a:srgbClr val="704F97"/>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2FCE-CB4E-9846-DB1F0EB0DBC7}"/>
              </c:ext>
            </c:extLst>
          </c:dPt>
          <c:dPt>
            <c:idx val="4"/>
            <c:invertIfNegative val="0"/>
            <c:bubble3D val="0"/>
            <c:spPr>
              <a:gradFill rotWithShape="0">
                <a:gsLst>
                  <a:gs pos="0">
                    <a:srgbClr val="9DE2FF"/>
                  </a:gs>
                  <a:gs pos="100000">
                    <a:srgbClr val="31A1C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2FCE-CB4E-9846-DB1F0EB0DBC7}"/>
              </c:ext>
            </c:extLst>
          </c:dPt>
          <c:dPt>
            <c:idx val="5"/>
            <c:invertIfNegative val="0"/>
            <c:bubble3D val="0"/>
            <c:spPr>
              <a:gradFill rotWithShape="0">
                <a:gsLst>
                  <a:gs pos="0">
                    <a:srgbClr val="FFB885"/>
                  </a:gs>
                  <a:gs pos="100000">
                    <a:srgbClr val="F28225"/>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2FCE-CB4E-9846-DB1F0EB0DBC7}"/>
              </c:ext>
            </c:extLst>
          </c:dPt>
          <c:dPt>
            <c:idx val="6"/>
            <c:invertIfNegative val="0"/>
            <c:bubble3D val="0"/>
            <c:spPr>
              <a:gradFill rotWithShape="0">
                <a:gsLst>
                  <a:gs pos="0">
                    <a:srgbClr val="B6D1FF"/>
                  </a:gs>
                  <a:gs pos="100000">
                    <a:srgbClr val="8AA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6-2FCE-CB4E-9846-DB1F0EB0DBC7}"/>
              </c:ext>
            </c:extLst>
          </c:dPt>
          <c:dPt>
            <c:idx val="7"/>
            <c:invertIfNegative val="0"/>
            <c:bubble3D val="0"/>
            <c:spPr>
              <a:gradFill rotWithShape="0">
                <a:gsLst>
                  <a:gs pos="0">
                    <a:srgbClr val="FFB6B4"/>
                  </a:gs>
                  <a:gs pos="100000">
                    <a:srgbClr val="DA8A8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2FCE-CB4E-9846-DB1F0EB0DBC7}"/>
              </c:ext>
            </c:extLst>
          </c:dPt>
          <c:dPt>
            <c:idx val="8"/>
            <c:invertIfNegative val="0"/>
            <c:bubble3D val="0"/>
            <c:spPr>
              <a:gradFill rotWithShape="0">
                <a:gsLst>
                  <a:gs pos="0">
                    <a:srgbClr val="E4FFBA"/>
                  </a:gs>
                  <a:gs pos="100000">
                    <a:srgbClr val="BBD68E"/>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2FCE-CB4E-9846-DB1F0EB0DBC7}"/>
              </c:ext>
            </c:extLst>
          </c:dPt>
          <c:dPt>
            <c:idx val="9"/>
            <c:invertIfNegative val="0"/>
            <c:bubble3D val="0"/>
            <c:spPr>
              <a:gradFill rotWithShape="0">
                <a:gsLst>
                  <a:gs pos="0">
                    <a:srgbClr val="D6C5F1"/>
                  </a:gs>
                  <a:gs pos="100000">
                    <a:srgbClr val="A896C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2FCE-CB4E-9846-DB1F0EB0DBC7}"/>
              </c:ext>
            </c:extLst>
          </c:dPt>
          <c:dPt>
            <c:idx val="10"/>
            <c:invertIfNegative val="0"/>
            <c:bubble3D val="0"/>
            <c:spPr>
              <a:gradFill rotWithShape="0">
                <a:gsLst>
                  <a:gs pos="0">
                    <a:srgbClr val="B2F1FF"/>
                  </a:gs>
                  <a:gs pos="100000">
                    <a:srgbClr val="87C8DF"/>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2FCE-CB4E-9846-DB1F0EB0DBC7}"/>
              </c:ext>
            </c:extLst>
          </c:dPt>
          <c:cat>
            <c:strRef>
              <c:f>'Data Reduction Engine'!$B$864:$B$874</c:f>
              <c:strCache>
                <c:ptCount val="11"/>
                <c:pt idx="0">
                  <c:v>(206/205)m</c:v>
                </c:pt>
                <c:pt idx="1">
                  <c:v>(207/206)m</c:v>
                </c:pt>
                <c:pt idx="2">
                  <c:v>(204/206)m</c:v>
                </c:pt>
                <c:pt idx="3">
                  <c:v>FPb</c:v>
                </c:pt>
                <c:pt idx="4">
                  <c:v>206Pb blank</c:v>
                </c:pt>
                <c:pt idx="5">
                  <c:v>(206/204)b</c:v>
                </c:pt>
                <c:pt idx="6">
                  <c:v>(207/206)c</c:v>
                </c:pt>
                <c:pt idx="7">
                  <c:v>(206/204)c</c:v>
                </c:pt>
                <c:pt idx="8">
                  <c:v>(206/205)t</c:v>
                </c:pt>
                <c:pt idx="9">
                  <c:v>(207/206)t</c:v>
                </c:pt>
                <c:pt idx="10">
                  <c:v>(204/205)t</c:v>
                </c:pt>
              </c:strCache>
            </c:strRef>
          </c:cat>
          <c:val>
            <c:numRef>
              <c:f>'Data Reduction Engine'!$AF$864:$AF$874</c:f>
              <c:numCache>
                <c:formatCode>0.00%</c:formatCode>
                <c:ptCount val="11"/>
                <c:pt idx="0">
                  <c:v>1.3322057082569164E-9</c:v>
                </c:pt>
                <c:pt idx="1">
                  <c:v>1.0498727466451233E-7</c:v>
                </c:pt>
                <c:pt idx="2">
                  <c:v>6.4518568067023247E-4</c:v>
                </c:pt>
                <c:pt idx="3">
                  <c:v>0.99813826404884487</c:v>
                </c:pt>
                <c:pt idx="4">
                  <c:v>3.7019712066791682E-8</c:v>
                </c:pt>
                <c:pt idx="5">
                  <c:v>1.0717003233121253E-4</c:v>
                </c:pt>
                <c:pt idx="6">
                  <c:v>6.2893193284000923E-4</c:v>
                </c:pt>
                <c:pt idx="7">
                  <c:v>4.7529154699128758E-4</c:v>
                </c:pt>
                <c:pt idx="8">
                  <c:v>2.0285712628359053E-7</c:v>
                </c:pt>
                <c:pt idx="9">
                  <c:v>5.7168156791705976E-13</c:v>
                </c:pt>
                <c:pt idx="10">
                  <c:v>4.8105614322271141E-6</c:v>
                </c:pt>
              </c:numCache>
            </c:numRef>
          </c:val>
          <c:extLst>
            <c:ext xmlns:c16="http://schemas.microsoft.com/office/drawing/2014/chart" uri="{C3380CC4-5D6E-409C-BE32-E72D297353CC}">
              <c16:uniqueId val="{0000000B-2FCE-CB4E-9846-DB1F0EB0DBC7}"/>
            </c:ext>
          </c:extLst>
        </c:ser>
        <c:dLbls>
          <c:showLegendKey val="0"/>
          <c:showVal val="0"/>
          <c:showCatName val="0"/>
          <c:showSerName val="0"/>
          <c:showPercent val="0"/>
          <c:showBubbleSize val="0"/>
        </c:dLbls>
        <c:gapWidth val="0"/>
        <c:axId val="1051548320"/>
        <c:axId val="1"/>
      </c:barChart>
      <c:catAx>
        <c:axId val="1051548320"/>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515483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8876896485500305"/>
          <c:y val="0.15778546712802805"/>
          <c:w val="0.76535740349529513"/>
          <c:h val="0.59972318339100306"/>
        </c:manualLayout>
      </c:layout>
      <c:barChart>
        <c:barDir val="col"/>
        <c:grouping val="clustered"/>
        <c:varyColors val="1"/>
        <c:ser>
          <c:idx val="0"/>
          <c:order val="0"/>
          <c:tx>
            <c:strRef>
              <c:f>'Data Reduction Engine'!$F$5</c:f>
              <c:strCache>
                <c:ptCount val="1"/>
                <c:pt idx="0">
                  <c:v>15WZ1-2 t3b</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5BFF0"/>
                  </a:gs>
                  <a:gs pos="100000">
                    <a:srgbClr val="3268A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02B3-AB44-859F-C0C677E41F01}"/>
              </c:ext>
            </c:extLst>
          </c:dPt>
          <c:dPt>
            <c:idx val="1"/>
            <c:invertIfNegative val="0"/>
            <c:bubble3D val="0"/>
            <c:spPr>
              <a:gradFill rotWithShape="0">
                <a:gsLst>
                  <a:gs pos="0">
                    <a:srgbClr val="F2A5A4"/>
                  </a:gs>
                  <a:gs pos="100000">
                    <a:srgbClr val="AD333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02B3-AB44-859F-C0C677E41F01}"/>
              </c:ext>
            </c:extLst>
          </c:dPt>
          <c:dPt>
            <c:idx val="2"/>
            <c:invertIfNegative val="0"/>
            <c:bubble3D val="0"/>
            <c:spPr>
              <a:gradFill rotWithShape="0">
                <a:gsLst>
                  <a:gs pos="0">
                    <a:srgbClr val="D1EDA8"/>
                  </a:gs>
                  <a:gs pos="100000">
                    <a:srgbClr val="83A6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02B3-AB44-859F-C0C677E41F01}"/>
              </c:ext>
            </c:extLst>
          </c:dPt>
          <c:dPt>
            <c:idx val="3"/>
            <c:invertIfNegative val="0"/>
            <c:bubble3D val="0"/>
            <c:spPr>
              <a:gradFill rotWithShape="0">
                <a:gsLst>
                  <a:gs pos="0">
                    <a:srgbClr val="C4B4DD"/>
                  </a:gs>
                  <a:gs pos="100000">
                    <a:srgbClr val="68498D"/>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02B3-AB44-859F-C0C677E41F01}"/>
              </c:ext>
            </c:extLst>
          </c:dPt>
          <c:dPt>
            <c:idx val="4"/>
            <c:invertIfNegative val="0"/>
            <c:bubble3D val="0"/>
            <c:spPr>
              <a:gradFill rotWithShape="0">
                <a:gsLst>
                  <a:gs pos="0">
                    <a:srgbClr val="A1DDF6"/>
                  </a:gs>
                  <a:gs pos="100000">
                    <a:srgbClr val="2D96B3"/>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02B3-AB44-859F-C0C677E41F01}"/>
              </c:ext>
            </c:extLst>
          </c:dPt>
          <c:dPt>
            <c:idx val="5"/>
            <c:invertIfNegative val="0"/>
            <c:bubble3D val="0"/>
            <c:spPr>
              <a:gradFill rotWithShape="0">
                <a:gsLst>
                  <a:gs pos="0">
                    <a:srgbClr val="FFB88C"/>
                  </a:gs>
                  <a:gs pos="100000">
                    <a:srgbClr val="E2792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02B3-AB44-859F-C0C677E41F01}"/>
              </c:ext>
            </c:extLst>
          </c:dPt>
          <c:dPt>
            <c:idx val="6"/>
            <c:invertIfNegative val="0"/>
            <c:bubble3D val="0"/>
            <c:extLst>
              <c:ext xmlns:c16="http://schemas.microsoft.com/office/drawing/2014/chart" uri="{C3380CC4-5D6E-409C-BE32-E72D297353CC}">
                <c16:uniqueId val="{00000006-02B3-AB44-859F-C0C677E41F01}"/>
              </c:ext>
            </c:extLst>
          </c:dPt>
          <c:dPt>
            <c:idx val="7"/>
            <c:invertIfNegative val="0"/>
            <c:bubble3D val="0"/>
            <c:spPr>
              <a:gradFill rotWithShape="0">
                <a:gsLst>
                  <a:gs pos="0">
                    <a:srgbClr val="FF9A99"/>
                  </a:gs>
                  <a:gs pos="100000">
                    <a:srgbClr val="D140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02B3-AB44-859F-C0C677E41F01}"/>
              </c:ext>
            </c:extLst>
          </c:dPt>
          <c:dPt>
            <c:idx val="8"/>
            <c:invertIfNegative val="0"/>
            <c:bubble3D val="0"/>
            <c:spPr>
              <a:gradFill rotWithShape="0">
                <a:gsLst>
                  <a:gs pos="0">
                    <a:srgbClr val="DCFFA0"/>
                  </a:gs>
                  <a:gs pos="100000">
                    <a:srgbClr val="A0CA4A"/>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02B3-AB44-859F-C0C677E41F01}"/>
              </c:ext>
            </c:extLst>
          </c:dPt>
          <c:dPt>
            <c:idx val="9"/>
            <c:invertIfNegative val="0"/>
            <c:bubble3D val="0"/>
            <c:spPr>
              <a:gradFill rotWithShape="0">
                <a:gsLst>
                  <a:gs pos="0">
                    <a:srgbClr val="C8B0ED"/>
                  </a:gs>
                  <a:gs pos="100000">
                    <a:srgbClr val="7F5BA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02B3-AB44-859F-C0C677E41F01}"/>
              </c:ext>
            </c:extLst>
          </c:dPt>
          <c:dPt>
            <c:idx val="10"/>
            <c:invertIfNegative val="0"/>
            <c:bubble3D val="0"/>
            <c:spPr>
              <a:gradFill rotWithShape="0">
                <a:gsLst>
                  <a:gs pos="0">
                    <a:srgbClr val="95EEFF"/>
                  </a:gs>
                  <a:gs pos="100000">
                    <a:srgbClr val="39B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02B3-AB44-859F-C0C677E41F01}"/>
              </c:ext>
            </c:extLst>
          </c:dPt>
          <c:dPt>
            <c:idx val="11"/>
            <c:invertIfNegative val="0"/>
            <c:bubble3D val="0"/>
            <c:spPr>
              <a:gradFill rotWithShape="0">
                <a:gsLst>
                  <a:gs pos="0">
                    <a:srgbClr val="FFB977"/>
                  </a:gs>
                  <a:gs pos="100000">
                    <a:srgbClr val="FF932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B-02B3-AB44-859F-C0C677E41F01}"/>
              </c:ext>
            </c:extLst>
          </c:dPt>
          <c:cat>
            <c:strRef>
              <c:f>'Data Reduction Engine'!$B$838:$B$849</c:f>
              <c:strCache>
                <c:ptCount val="12"/>
                <c:pt idx="0">
                  <c:v>(206/205)m</c:v>
                </c:pt>
                <c:pt idx="1">
                  <c:v>(204/206)m</c:v>
                </c:pt>
                <c:pt idx="2">
                  <c:v>FPb</c:v>
                </c:pt>
                <c:pt idx="3">
                  <c:v>206Pb blank</c:v>
                </c:pt>
                <c:pt idx="4">
                  <c:v>(206/204)b</c:v>
                </c:pt>
                <c:pt idx="5">
                  <c:v>(206/204)c</c:v>
                </c:pt>
                <c:pt idx="6">
                  <c:v>(238/235)m</c:v>
                </c:pt>
                <c:pt idx="7">
                  <c:v>FU</c:v>
                </c:pt>
                <c:pt idx="8">
                  <c:v>238U blank</c:v>
                </c:pt>
                <c:pt idx="9">
                  <c:v>(Th/U)zircon</c:v>
                </c:pt>
                <c:pt idx="10">
                  <c:v>(Th/U)magma</c:v>
                </c:pt>
                <c:pt idx="11">
                  <c:v>(Th/U)initial</c:v>
                </c:pt>
              </c:strCache>
            </c:strRef>
          </c:cat>
          <c:val>
            <c:numRef>
              <c:f>'Data Reduction Engine'!$F$838:$F$849</c:f>
              <c:numCache>
                <c:formatCode>0.00%</c:formatCode>
                <c:ptCount val="12"/>
                <c:pt idx="0">
                  <c:v>1.4180180340827237E-5</c:v>
                </c:pt>
                <c:pt idx="1">
                  <c:v>7.9405015703028926E-3</c:v>
                </c:pt>
                <c:pt idx="2">
                  <c:v>1.1724663150913202E-2</c:v>
                </c:pt>
                <c:pt idx="3">
                  <c:v>8.9756728237694978E-4</c:v>
                </c:pt>
                <c:pt idx="4">
                  <c:v>6.5478415608971369E-4</c:v>
                </c:pt>
                <c:pt idx="5">
                  <c:v>0.9786450075296711</c:v>
                </c:pt>
                <c:pt idx="6">
                  <c:v>6.0374613343044209E-5</c:v>
                </c:pt>
                <c:pt idx="7">
                  <c:v>1.1697444999197544E-5</c:v>
                </c:pt>
                <c:pt idx="8">
                  <c:v>4.1086843465748702E-5</c:v>
                </c:pt>
                <c:pt idx="9">
                  <c:v>1.0105031069734614E-5</c:v>
                </c:pt>
                <c:pt idx="10">
                  <c:v>2.9538924291569056E-8</c:v>
                </c:pt>
                <c:pt idx="11">
                  <c:v>2.6585031862412154E-9</c:v>
                </c:pt>
              </c:numCache>
            </c:numRef>
          </c:val>
          <c:extLst>
            <c:ext xmlns:c16="http://schemas.microsoft.com/office/drawing/2014/chart" uri="{C3380CC4-5D6E-409C-BE32-E72D297353CC}">
              <c16:uniqueId val="{0000000C-02B3-AB44-859F-C0C677E41F01}"/>
            </c:ext>
          </c:extLst>
        </c:ser>
        <c:dLbls>
          <c:showLegendKey val="0"/>
          <c:showVal val="0"/>
          <c:showCatName val="0"/>
          <c:showSerName val="0"/>
          <c:showPercent val="0"/>
          <c:showBubbleSize val="0"/>
        </c:dLbls>
        <c:gapWidth val="0"/>
        <c:axId val="1052173312"/>
        <c:axId val="1"/>
      </c:barChart>
      <c:catAx>
        <c:axId val="1052173312"/>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5217331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5225657768388698"/>
          <c:y val="0.15833333333333305"/>
          <c:w val="0.68669982715575228"/>
          <c:h val="0.64123496281714798"/>
        </c:manualLayout>
      </c:layout>
      <c:barChart>
        <c:barDir val="col"/>
        <c:grouping val="clustered"/>
        <c:varyColors val="1"/>
        <c:ser>
          <c:idx val="0"/>
          <c:order val="0"/>
          <c:tx>
            <c:strRef>
              <c:f>'Data Reduction Engine'!$F$5</c:f>
              <c:strCache>
                <c:ptCount val="1"/>
                <c:pt idx="0">
                  <c:v>15WZ1-2 t3b</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2BFF8"/>
                  </a:gs>
                  <a:gs pos="100000">
                    <a:srgbClr val="3670B6"/>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8238-2745-A9F6-271451054033}"/>
              </c:ext>
            </c:extLst>
          </c:dPt>
          <c:dPt>
            <c:idx val="1"/>
            <c:invertIfNegative val="0"/>
            <c:bubble3D val="0"/>
            <c:spPr>
              <a:gradFill rotWithShape="0">
                <a:gsLst>
                  <a:gs pos="0">
                    <a:srgbClr val="FAA1A0"/>
                  </a:gs>
                  <a:gs pos="100000">
                    <a:srgbClr val="B93734"/>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8238-2745-A9F6-271451054033}"/>
              </c:ext>
            </c:extLst>
          </c:dPt>
          <c:dPt>
            <c:idx val="2"/>
            <c:invertIfNegative val="0"/>
            <c:bubble3D val="0"/>
            <c:spPr>
              <a:gradFill rotWithShape="0">
                <a:gsLst>
                  <a:gs pos="0">
                    <a:srgbClr val="D4F4A6"/>
                  </a:gs>
                  <a:gs pos="100000">
                    <a:srgbClr val="8DB241"/>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8238-2745-A9F6-271451054033}"/>
              </c:ext>
            </c:extLst>
          </c:dPt>
          <c:dPt>
            <c:idx val="3"/>
            <c:invertIfNegative val="0"/>
            <c:bubble3D val="0"/>
            <c:spPr>
              <a:gradFill rotWithShape="0">
                <a:gsLst>
                  <a:gs pos="0">
                    <a:srgbClr val="C5B3E2"/>
                  </a:gs>
                  <a:gs pos="100000">
                    <a:srgbClr val="704F97"/>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8238-2745-A9F6-271451054033}"/>
              </c:ext>
            </c:extLst>
          </c:dPt>
          <c:dPt>
            <c:idx val="4"/>
            <c:invertIfNegative val="0"/>
            <c:bubble3D val="0"/>
            <c:spPr>
              <a:gradFill rotWithShape="0">
                <a:gsLst>
                  <a:gs pos="0">
                    <a:srgbClr val="9DE2FF"/>
                  </a:gs>
                  <a:gs pos="100000">
                    <a:srgbClr val="31A1C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8238-2745-A9F6-271451054033}"/>
              </c:ext>
            </c:extLst>
          </c:dPt>
          <c:dPt>
            <c:idx val="5"/>
            <c:invertIfNegative val="0"/>
            <c:bubble3D val="0"/>
            <c:spPr>
              <a:gradFill rotWithShape="0">
                <a:gsLst>
                  <a:gs pos="0">
                    <a:srgbClr val="FFB885"/>
                  </a:gs>
                  <a:gs pos="100000">
                    <a:srgbClr val="F28225"/>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8238-2745-A9F6-271451054033}"/>
              </c:ext>
            </c:extLst>
          </c:dPt>
          <c:dPt>
            <c:idx val="6"/>
            <c:invertIfNegative val="0"/>
            <c:bubble3D val="0"/>
            <c:spPr>
              <a:gradFill rotWithShape="0">
                <a:gsLst>
                  <a:gs pos="0">
                    <a:srgbClr val="B6D1FF"/>
                  </a:gs>
                  <a:gs pos="100000">
                    <a:srgbClr val="8AA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6-8238-2745-A9F6-271451054033}"/>
              </c:ext>
            </c:extLst>
          </c:dPt>
          <c:dPt>
            <c:idx val="7"/>
            <c:invertIfNegative val="0"/>
            <c:bubble3D val="0"/>
            <c:spPr>
              <a:gradFill rotWithShape="0">
                <a:gsLst>
                  <a:gs pos="0">
                    <a:srgbClr val="FFB6B4"/>
                  </a:gs>
                  <a:gs pos="100000">
                    <a:srgbClr val="DA8A8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8238-2745-A9F6-271451054033}"/>
              </c:ext>
            </c:extLst>
          </c:dPt>
          <c:dPt>
            <c:idx val="8"/>
            <c:invertIfNegative val="0"/>
            <c:bubble3D val="0"/>
            <c:spPr>
              <a:gradFill rotWithShape="0">
                <a:gsLst>
                  <a:gs pos="0">
                    <a:srgbClr val="E4FFBA"/>
                  </a:gs>
                  <a:gs pos="100000">
                    <a:srgbClr val="BBD68E"/>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8238-2745-A9F6-271451054033}"/>
              </c:ext>
            </c:extLst>
          </c:dPt>
          <c:dPt>
            <c:idx val="9"/>
            <c:invertIfNegative val="0"/>
            <c:bubble3D val="0"/>
            <c:spPr>
              <a:gradFill rotWithShape="0">
                <a:gsLst>
                  <a:gs pos="0">
                    <a:srgbClr val="D6C5F1"/>
                  </a:gs>
                  <a:gs pos="100000">
                    <a:srgbClr val="A896C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8238-2745-A9F6-271451054033}"/>
              </c:ext>
            </c:extLst>
          </c:dPt>
          <c:dPt>
            <c:idx val="10"/>
            <c:invertIfNegative val="0"/>
            <c:bubble3D val="0"/>
            <c:spPr>
              <a:gradFill rotWithShape="0">
                <a:gsLst>
                  <a:gs pos="0">
                    <a:srgbClr val="B2F1FF"/>
                  </a:gs>
                  <a:gs pos="100000">
                    <a:srgbClr val="87C8DF"/>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8238-2745-A9F6-271451054033}"/>
              </c:ext>
            </c:extLst>
          </c:dPt>
          <c:cat>
            <c:strRef>
              <c:f>'Data Reduction Engine'!$B$864:$B$874</c:f>
              <c:strCache>
                <c:ptCount val="11"/>
                <c:pt idx="0">
                  <c:v>(206/205)m</c:v>
                </c:pt>
                <c:pt idx="1">
                  <c:v>(207/206)m</c:v>
                </c:pt>
                <c:pt idx="2">
                  <c:v>(204/206)m</c:v>
                </c:pt>
                <c:pt idx="3">
                  <c:v>FPb</c:v>
                </c:pt>
                <c:pt idx="4">
                  <c:v>206Pb blank</c:v>
                </c:pt>
                <c:pt idx="5">
                  <c:v>(206/204)b</c:v>
                </c:pt>
                <c:pt idx="6">
                  <c:v>(207/206)c</c:v>
                </c:pt>
                <c:pt idx="7">
                  <c:v>(206/204)c</c:v>
                </c:pt>
                <c:pt idx="8">
                  <c:v>(206/205)t</c:v>
                </c:pt>
                <c:pt idx="9">
                  <c:v>(207/206)t</c:v>
                </c:pt>
                <c:pt idx="10">
                  <c:v>(204/205)t</c:v>
                </c:pt>
              </c:strCache>
            </c:strRef>
          </c:cat>
          <c:val>
            <c:numRef>
              <c:f>'Data Reduction Engine'!$F$864:$F$874</c:f>
              <c:numCache>
                <c:formatCode>0.00%</c:formatCode>
                <c:ptCount val="11"/>
                <c:pt idx="0">
                  <c:v>8.8496540849579314E-8</c:v>
                </c:pt>
                <c:pt idx="1">
                  <c:v>0.11313082295528139</c:v>
                </c:pt>
                <c:pt idx="2">
                  <c:v>7.1555342156910756E-2</c:v>
                </c:pt>
                <c:pt idx="3">
                  <c:v>0.22066811614045662</c:v>
                </c:pt>
                <c:pt idx="4">
                  <c:v>1.6440323072567203E-4</c:v>
                </c:pt>
                <c:pt idx="5">
                  <c:v>5.9005472026040142E-3</c:v>
                </c:pt>
                <c:pt idx="6">
                  <c:v>0.55454917359666289</c:v>
                </c:pt>
                <c:pt idx="7">
                  <c:v>3.3927061309384887E-2</c:v>
                </c:pt>
                <c:pt idx="8">
                  <c:v>4.1432796688130781E-6</c:v>
                </c:pt>
                <c:pt idx="9">
                  <c:v>8.4915103280112151E-12</c:v>
                </c:pt>
                <c:pt idx="10">
                  <c:v>1.0030162327259316E-4</c:v>
                </c:pt>
              </c:numCache>
            </c:numRef>
          </c:val>
          <c:extLst>
            <c:ext xmlns:c16="http://schemas.microsoft.com/office/drawing/2014/chart" uri="{C3380CC4-5D6E-409C-BE32-E72D297353CC}">
              <c16:uniqueId val="{0000000B-8238-2745-A9F6-271451054033}"/>
            </c:ext>
          </c:extLst>
        </c:ser>
        <c:dLbls>
          <c:showLegendKey val="0"/>
          <c:showVal val="0"/>
          <c:showCatName val="0"/>
          <c:showSerName val="0"/>
          <c:showPercent val="0"/>
          <c:showBubbleSize val="0"/>
        </c:dLbls>
        <c:gapWidth val="0"/>
        <c:axId val="1052234224"/>
        <c:axId val="1"/>
      </c:barChart>
      <c:catAx>
        <c:axId val="1052234224"/>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522342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8876896485500305"/>
          <c:y val="0.15778546712802805"/>
          <c:w val="0.76535740349529513"/>
          <c:h val="0.59972318339100306"/>
        </c:manualLayout>
      </c:layout>
      <c:barChart>
        <c:barDir val="col"/>
        <c:grouping val="clustered"/>
        <c:varyColors val="1"/>
        <c:ser>
          <c:idx val="0"/>
          <c:order val="0"/>
          <c:tx>
            <c:strRef>
              <c:f>'Data Reduction Engine'!$G$5</c:f>
              <c:strCache>
                <c:ptCount val="1"/>
                <c:pt idx="0">
                  <c:v>15WZ1-2 t4</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invertIfNegative val="0"/>
          <c:dPt>
            <c:idx val="0"/>
            <c:invertIfNegative val="0"/>
            <c:bubble3D val="0"/>
            <c:spPr>
              <a:gradFill rotWithShape="0">
                <a:gsLst>
                  <a:gs pos="0">
                    <a:srgbClr val="A5BFF0"/>
                  </a:gs>
                  <a:gs pos="100000">
                    <a:srgbClr val="3268A9"/>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0-D46F-F846-A868-3739027E89D9}"/>
              </c:ext>
            </c:extLst>
          </c:dPt>
          <c:dPt>
            <c:idx val="1"/>
            <c:invertIfNegative val="0"/>
            <c:bubble3D val="0"/>
            <c:spPr>
              <a:gradFill rotWithShape="0">
                <a:gsLst>
                  <a:gs pos="0">
                    <a:srgbClr val="F2A5A4"/>
                  </a:gs>
                  <a:gs pos="100000">
                    <a:srgbClr val="AD3330"/>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1-D46F-F846-A868-3739027E89D9}"/>
              </c:ext>
            </c:extLst>
          </c:dPt>
          <c:dPt>
            <c:idx val="2"/>
            <c:invertIfNegative val="0"/>
            <c:bubble3D val="0"/>
            <c:spPr>
              <a:gradFill rotWithShape="0">
                <a:gsLst>
                  <a:gs pos="0">
                    <a:srgbClr val="D1EDA8"/>
                  </a:gs>
                  <a:gs pos="100000">
                    <a:srgbClr val="83A6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2-D46F-F846-A868-3739027E89D9}"/>
              </c:ext>
            </c:extLst>
          </c:dPt>
          <c:dPt>
            <c:idx val="3"/>
            <c:invertIfNegative val="0"/>
            <c:bubble3D val="0"/>
            <c:spPr>
              <a:gradFill rotWithShape="0">
                <a:gsLst>
                  <a:gs pos="0">
                    <a:srgbClr val="C4B4DD"/>
                  </a:gs>
                  <a:gs pos="100000">
                    <a:srgbClr val="68498D"/>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3-D46F-F846-A868-3739027E89D9}"/>
              </c:ext>
            </c:extLst>
          </c:dPt>
          <c:dPt>
            <c:idx val="4"/>
            <c:invertIfNegative val="0"/>
            <c:bubble3D val="0"/>
            <c:spPr>
              <a:gradFill rotWithShape="0">
                <a:gsLst>
                  <a:gs pos="0">
                    <a:srgbClr val="A1DDF6"/>
                  </a:gs>
                  <a:gs pos="100000">
                    <a:srgbClr val="2D96B3"/>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4-D46F-F846-A868-3739027E89D9}"/>
              </c:ext>
            </c:extLst>
          </c:dPt>
          <c:dPt>
            <c:idx val="5"/>
            <c:invertIfNegative val="0"/>
            <c:bubble3D val="0"/>
            <c:spPr>
              <a:gradFill rotWithShape="0">
                <a:gsLst>
                  <a:gs pos="0">
                    <a:srgbClr val="FFB88C"/>
                  </a:gs>
                  <a:gs pos="100000">
                    <a:srgbClr val="E27922"/>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5-D46F-F846-A868-3739027E89D9}"/>
              </c:ext>
            </c:extLst>
          </c:dPt>
          <c:dPt>
            <c:idx val="6"/>
            <c:invertIfNegative val="0"/>
            <c:bubble3D val="0"/>
            <c:extLst>
              <c:ext xmlns:c16="http://schemas.microsoft.com/office/drawing/2014/chart" uri="{C3380CC4-5D6E-409C-BE32-E72D297353CC}">
                <c16:uniqueId val="{00000006-D46F-F846-A868-3739027E89D9}"/>
              </c:ext>
            </c:extLst>
          </c:dPt>
          <c:dPt>
            <c:idx val="7"/>
            <c:invertIfNegative val="0"/>
            <c:bubble3D val="0"/>
            <c:spPr>
              <a:gradFill rotWithShape="0">
                <a:gsLst>
                  <a:gs pos="0">
                    <a:srgbClr val="FF9A99"/>
                  </a:gs>
                  <a:gs pos="100000">
                    <a:srgbClr val="D1403C"/>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7-D46F-F846-A868-3739027E89D9}"/>
              </c:ext>
            </c:extLst>
          </c:dPt>
          <c:dPt>
            <c:idx val="8"/>
            <c:invertIfNegative val="0"/>
            <c:bubble3D val="0"/>
            <c:spPr>
              <a:gradFill rotWithShape="0">
                <a:gsLst>
                  <a:gs pos="0">
                    <a:srgbClr val="DCFFA0"/>
                  </a:gs>
                  <a:gs pos="100000">
                    <a:srgbClr val="A0CA4A"/>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8-D46F-F846-A868-3739027E89D9}"/>
              </c:ext>
            </c:extLst>
          </c:dPt>
          <c:dPt>
            <c:idx val="9"/>
            <c:invertIfNegative val="0"/>
            <c:bubble3D val="0"/>
            <c:spPr>
              <a:gradFill rotWithShape="0">
                <a:gsLst>
                  <a:gs pos="0">
                    <a:srgbClr val="C8B0ED"/>
                  </a:gs>
                  <a:gs pos="100000">
                    <a:srgbClr val="7F5BA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9-D46F-F846-A868-3739027E89D9}"/>
              </c:ext>
            </c:extLst>
          </c:dPt>
          <c:dPt>
            <c:idx val="10"/>
            <c:invertIfNegative val="0"/>
            <c:bubble3D val="0"/>
            <c:spPr>
              <a:gradFill rotWithShape="0">
                <a:gsLst>
                  <a:gs pos="0">
                    <a:srgbClr val="95EEFF"/>
                  </a:gs>
                  <a:gs pos="100000">
                    <a:srgbClr val="39B7D8"/>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A-D46F-F846-A868-3739027E89D9}"/>
              </c:ext>
            </c:extLst>
          </c:dPt>
          <c:dPt>
            <c:idx val="11"/>
            <c:invertIfNegative val="0"/>
            <c:bubble3D val="0"/>
            <c:spPr>
              <a:gradFill rotWithShape="0">
                <a:gsLst>
                  <a:gs pos="0">
                    <a:srgbClr val="FFB977"/>
                  </a:gs>
                  <a:gs pos="100000">
                    <a:srgbClr val="FF932B"/>
                  </a:gs>
                </a:gsLst>
                <a:lin ang="5400000"/>
              </a:gradFill>
              <a:ln w="25400">
                <a:noFill/>
              </a:ln>
              <a:effectLst>
                <a:outerShdw dist="35921" dir="2700000" algn="br">
                  <a:srgbClr val="000000"/>
                </a:outerShdw>
              </a:effectLst>
            </c:spPr>
            <c:extLst>
              <c:ext xmlns:c16="http://schemas.microsoft.com/office/drawing/2014/chart" uri="{C3380CC4-5D6E-409C-BE32-E72D297353CC}">
                <c16:uniqueId val="{0000000B-D46F-F846-A868-3739027E89D9}"/>
              </c:ext>
            </c:extLst>
          </c:dPt>
          <c:cat>
            <c:strRef>
              <c:f>'Data Reduction Engine'!$B$838:$B$849</c:f>
              <c:strCache>
                <c:ptCount val="12"/>
                <c:pt idx="0">
                  <c:v>(206/205)m</c:v>
                </c:pt>
                <c:pt idx="1">
                  <c:v>(204/206)m</c:v>
                </c:pt>
                <c:pt idx="2">
                  <c:v>FPb</c:v>
                </c:pt>
                <c:pt idx="3">
                  <c:v>206Pb blank</c:v>
                </c:pt>
                <c:pt idx="4">
                  <c:v>(206/204)b</c:v>
                </c:pt>
                <c:pt idx="5">
                  <c:v>(206/204)c</c:v>
                </c:pt>
                <c:pt idx="6">
                  <c:v>(238/235)m</c:v>
                </c:pt>
                <c:pt idx="7">
                  <c:v>FU</c:v>
                </c:pt>
                <c:pt idx="8">
                  <c:v>238U blank</c:v>
                </c:pt>
                <c:pt idx="9">
                  <c:v>(Th/U)zircon</c:v>
                </c:pt>
                <c:pt idx="10">
                  <c:v>(Th/U)magma</c:v>
                </c:pt>
                <c:pt idx="11">
                  <c:v>(Th/U)initial</c:v>
                </c:pt>
              </c:strCache>
            </c:strRef>
          </c:cat>
          <c:val>
            <c:numRef>
              <c:f>'Data Reduction Engine'!$G$838:$G$849</c:f>
              <c:numCache>
                <c:formatCode>0.00%</c:formatCode>
                <c:ptCount val="12"/>
                <c:pt idx="0">
                  <c:v>9.364396575470838E-5</c:v>
                </c:pt>
                <c:pt idx="1">
                  <c:v>2.5409343454522056E-2</c:v>
                </c:pt>
                <c:pt idx="2">
                  <c:v>1.2731131823813739E-2</c:v>
                </c:pt>
                <c:pt idx="3">
                  <c:v>1.0986834433181301E-3</c:v>
                </c:pt>
                <c:pt idx="4">
                  <c:v>8.0150037258229436E-4</c:v>
                </c:pt>
                <c:pt idx="5">
                  <c:v>0.95942314085532721</c:v>
                </c:pt>
                <c:pt idx="6">
                  <c:v>3.2574160111492433E-4</c:v>
                </c:pt>
                <c:pt idx="7">
                  <c:v>3.7469933941571482E-5</c:v>
                </c:pt>
                <c:pt idx="8">
                  <c:v>7.1856623126690896E-5</c:v>
                </c:pt>
                <c:pt idx="9">
                  <c:v>7.1663168161560933E-6</c:v>
                </c:pt>
                <c:pt idx="10">
                  <c:v>2.9505475463801843E-7</c:v>
                </c:pt>
                <c:pt idx="11">
                  <c:v>2.6554927917421662E-8</c:v>
                </c:pt>
              </c:numCache>
            </c:numRef>
          </c:val>
          <c:extLst>
            <c:ext xmlns:c16="http://schemas.microsoft.com/office/drawing/2014/chart" uri="{C3380CC4-5D6E-409C-BE32-E72D297353CC}">
              <c16:uniqueId val="{0000000C-D46F-F846-A868-3739027E89D9}"/>
            </c:ext>
          </c:extLst>
        </c:ser>
        <c:dLbls>
          <c:showLegendKey val="0"/>
          <c:showVal val="0"/>
          <c:showCatName val="0"/>
          <c:showSerName val="0"/>
          <c:showPercent val="0"/>
          <c:showBubbleSize val="0"/>
        </c:dLbls>
        <c:gapWidth val="0"/>
        <c:axId val="1052085568"/>
        <c:axId val="1"/>
      </c:barChart>
      <c:catAx>
        <c:axId val="1052085568"/>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1"/>
        <c:crossesAt val="1E-3"/>
        <c:auto val="1"/>
        <c:lblAlgn val="ctr"/>
        <c:lblOffset val="100"/>
        <c:noMultiLvlLbl val="0"/>
      </c:catAx>
      <c:valAx>
        <c:axId val="1"/>
        <c:scaling>
          <c:logBase val="10"/>
          <c:orientation val="minMax"/>
          <c:min val="1E-3"/>
        </c:scaling>
        <c:delete val="0"/>
        <c:axPos val="l"/>
        <c:majorGridlines>
          <c:spPr>
            <a:ln w="3175">
              <a:solidFill>
                <a:srgbClr val="808080"/>
              </a:solidFill>
              <a:prstDash val="solid"/>
            </a:ln>
          </c:spPr>
        </c:majorGridlines>
        <c:numFmt formatCode="0%" sourceLinked="0"/>
        <c:majorTickMark val="out"/>
        <c:minorTickMark val="out"/>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0520855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0011" r="0.75000000000000011" t="1" header="0.5" footer="0.5"/>
    <c:pageSetup orientation="portrait"/>
  </c:printSettings>
</c:chartSpace>
</file>

<file path=xl/drawings/_rels/drawing2.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5" Type="http://schemas.openxmlformats.org/officeDocument/2006/relationships/chart" Target="../charts/chart5.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8" Type="http://schemas.openxmlformats.org/officeDocument/2006/relationships/chart" Target="../charts/chart8.xml"/><Relationship Id="rId51" Type="http://schemas.openxmlformats.org/officeDocument/2006/relationships/chart" Target="../charts/chart51.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s>
</file>

<file path=xl/drawings/drawing1.xml><?xml version="1.0" encoding="utf-8"?>
<xdr:wsDr xmlns:xdr="http://schemas.openxmlformats.org/drawingml/2006/spreadsheetDrawing" xmlns:a="http://schemas.openxmlformats.org/drawingml/2006/main">
  <xdr:twoCellAnchor>
    <xdr:from>
      <xdr:col>0</xdr:col>
      <xdr:colOff>25400</xdr:colOff>
      <xdr:row>86</xdr:row>
      <xdr:rowOff>12700</xdr:rowOff>
    </xdr:from>
    <xdr:to>
      <xdr:col>22</xdr:col>
      <xdr:colOff>0</xdr:colOff>
      <xdr:row>131</xdr:row>
      <xdr:rowOff>101600</xdr:rowOff>
    </xdr:to>
    <xdr:sp macro="" textlink="">
      <xdr:nvSpPr>
        <xdr:cNvPr id="11265" name="Text Box 1">
          <a:extLst>
            <a:ext uri="{FF2B5EF4-FFF2-40B4-BE49-F238E27FC236}">
              <a16:creationId xmlns:a16="http://schemas.microsoft.com/office/drawing/2014/main" id="{18F44C8A-D94D-B144-ACEF-112180C71B24}"/>
            </a:ext>
          </a:extLst>
        </xdr:cNvPr>
        <xdr:cNvSpPr txBox="1">
          <a:spLocks noChangeArrowheads="1"/>
        </xdr:cNvSpPr>
      </xdr:nvSpPr>
      <xdr:spPr bwMode="auto">
        <a:xfrm>
          <a:off x="25400" y="10579100"/>
          <a:ext cx="13474700" cy="7861300"/>
        </a:xfrm>
        <a:prstGeom prst="rect">
          <a:avLst/>
        </a:prstGeom>
        <a:solidFill>
          <a:srgbClr xmlns:mc="http://schemas.openxmlformats.org/markup-compatibility/2006" xmlns:a14="http://schemas.microsoft.com/office/drawing/2010/main" val="FFFFFF" mc:Ignorable="a14" a14:legacySpreadsheetColorIndex="65"/>
        </a:solidFill>
        <a:ln w="127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200" b="1" i="1" u="none" strike="noStrike" baseline="0">
              <a:solidFill>
                <a:srgbClr val="000000"/>
              </a:solidFill>
              <a:latin typeface="Arial"/>
              <a:ea typeface="Arial"/>
              <a:cs typeface="Arial"/>
            </a:rPr>
            <a:t>Notes on use of the YourLab_UPbR_AnySpike Template:</a:t>
          </a:r>
        </a:p>
        <a:p>
          <a:pPr algn="l" rtl="0">
            <a:defRPr sz="1000"/>
          </a:pPr>
          <a:endParaRPr lang="en-US" sz="1200" b="0" i="0" u="none" strike="noStrike" baseline="0">
            <a:solidFill>
              <a:srgbClr val="000000"/>
            </a:solidFill>
            <a:latin typeface="Arial"/>
            <a:ea typeface="Arial"/>
            <a:cs typeface="Arial"/>
          </a:endParaRPr>
        </a:p>
        <a:p>
          <a:pPr algn="l" rtl="0">
            <a:defRPr sz="1000"/>
          </a:pPr>
          <a:r>
            <a:rPr lang="en-US" sz="1200" b="1" i="0" u="none" strike="noStrike" baseline="0">
              <a:solidFill>
                <a:srgbClr val="000000"/>
              </a:solidFill>
              <a:latin typeface="Arial"/>
              <a:ea typeface="Arial"/>
              <a:cs typeface="Arial"/>
            </a:rPr>
            <a:t>a)</a:t>
          </a:r>
          <a:r>
            <a:rPr lang="en-US" sz="1200" b="0" i="0" u="none" strike="noStrike" baseline="0">
              <a:solidFill>
                <a:srgbClr val="000000"/>
              </a:solidFill>
              <a:latin typeface="Arial"/>
              <a:ea typeface="Arial"/>
              <a:cs typeface="Arial"/>
            </a:rPr>
            <a:t> All green (</a:t>
          </a:r>
          <a:r>
            <a:rPr lang="en-US" sz="1200" b="1" i="0" u="none" strike="noStrike" baseline="0">
              <a:solidFill>
                <a:srgbClr val="000000"/>
              </a:solidFill>
              <a:latin typeface="Arial"/>
              <a:ea typeface="Arial"/>
              <a:cs typeface="Arial"/>
            </a:rPr>
            <a:t>"Sample Information"</a:t>
          </a:r>
          <a:r>
            <a:rPr lang="en-US" sz="1200" b="0" i="0" u="none" strike="noStrike" baseline="0">
              <a:solidFill>
                <a:srgbClr val="000000"/>
              </a:solidFill>
              <a:latin typeface="Arial"/>
              <a:ea typeface="Arial"/>
              <a:cs typeface="Arial"/>
            </a:rPr>
            <a:t>) and grey (</a:t>
          </a:r>
          <a:r>
            <a:rPr lang="en-US" sz="1200" b="1" i="0" u="none" strike="noStrike" baseline="0">
              <a:solidFill>
                <a:srgbClr val="000000"/>
              </a:solidFill>
              <a:latin typeface="Arial"/>
              <a:ea typeface="Arial"/>
              <a:cs typeface="Arial"/>
            </a:rPr>
            <a:t>"Laboratory and Sample Constants"</a:t>
          </a:r>
          <a:r>
            <a:rPr lang="en-US" sz="1200" b="0" i="0" u="none" strike="noStrike" baseline="0">
              <a:solidFill>
                <a:srgbClr val="000000"/>
              </a:solidFill>
              <a:latin typeface="Arial"/>
              <a:ea typeface="Arial"/>
              <a:cs typeface="Arial"/>
            </a:rPr>
            <a:t>) cells in the </a:t>
          </a:r>
          <a:r>
            <a:rPr lang="en-US" sz="1200" b="1" i="0" u="none" strike="noStrike" baseline="0">
              <a:solidFill>
                <a:srgbClr val="000000"/>
              </a:solidFill>
              <a:latin typeface="Arial"/>
              <a:ea typeface="Arial"/>
              <a:cs typeface="Arial"/>
            </a:rPr>
            <a:t>Raw Data Input</a:t>
          </a:r>
          <a:r>
            <a:rPr lang="en-US" sz="1200" b="0" i="0" u="none" strike="noStrike" baseline="0">
              <a:solidFill>
                <a:srgbClr val="000000"/>
              </a:solidFill>
              <a:latin typeface="Arial"/>
              <a:ea typeface="Arial"/>
              <a:cs typeface="Arial"/>
            </a:rPr>
            <a:t> sheet of this data template require inputs; these inputs are fed into the </a:t>
          </a:r>
          <a:r>
            <a:rPr lang="en-US" sz="1200" b="1" i="0" u="none" strike="noStrike" baseline="0">
              <a:solidFill>
                <a:srgbClr val="000000"/>
              </a:solidFill>
              <a:latin typeface="Arial"/>
              <a:ea typeface="Arial"/>
              <a:cs typeface="Arial"/>
            </a:rPr>
            <a:t>Data Reduction Engine</a:t>
          </a:r>
          <a:r>
            <a:rPr lang="en-US" sz="1200" b="0" i="0" u="none" strike="noStrike" baseline="0">
              <a:solidFill>
                <a:srgbClr val="000000"/>
              </a:solidFill>
              <a:latin typeface="Arial"/>
              <a:ea typeface="Arial"/>
              <a:cs typeface="Arial"/>
            </a:rPr>
            <a:t> sheet containing all the calculation and error propagation algorithms (from Schmitz and Schoene [2007] with addenda can be downloaded at http:/earth.boisestate.edu/isotope/).  Note that you can hide the </a:t>
          </a:r>
          <a:r>
            <a:rPr lang="en-US" sz="1200" b="1" i="0" u="none" strike="noStrike" baseline="0">
              <a:solidFill>
                <a:srgbClr val="000000"/>
              </a:solidFill>
              <a:latin typeface="Arial"/>
              <a:ea typeface="Arial"/>
              <a:cs typeface="Arial"/>
            </a:rPr>
            <a:t>Data Reduction Engine</a:t>
          </a:r>
          <a:r>
            <a:rPr lang="en-US" sz="1200" b="0" i="0" u="none" strike="noStrike" baseline="0">
              <a:solidFill>
                <a:srgbClr val="000000"/>
              </a:solidFill>
              <a:latin typeface="Arial"/>
              <a:ea typeface="Arial"/>
              <a:cs typeface="Arial"/>
            </a:rPr>
            <a:t> sheet (Format--&gt;Sheet--&gt;Hide) and/or the columns AF-AK containing the </a:t>
          </a:r>
          <a:r>
            <a:rPr lang="en-US" sz="1200" b="1" i="0" u="none" strike="noStrike" baseline="0">
              <a:solidFill>
                <a:srgbClr val="000000"/>
              </a:solidFill>
              <a:latin typeface="Arial"/>
              <a:ea typeface="Arial"/>
              <a:cs typeface="Arial"/>
            </a:rPr>
            <a:t>"Laboratory and Sample Constants"</a:t>
          </a:r>
          <a:r>
            <a:rPr lang="en-US" sz="1200" b="0" i="0" u="none" strike="noStrike" baseline="0">
              <a:solidFill>
                <a:srgbClr val="000000"/>
              </a:solidFill>
              <a:latin typeface="Arial"/>
              <a:ea typeface="Arial"/>
              <a:cs typeface="Arial"/>
            </a:rPr>
            <a:t> (Format--&gt;Column--&gt;Hide) if you want to keep these sections inaccesible to the casual user.  The yellow </a:t>
          </a:r>
          <a:r>
            <a:rPr lang="en-US" sz="1200" b="1" i="0" u="none" strike="noStrike" baseline="0">
              <a:solidFill>
                <a:srgbClr val="000000"/>
              </a:solidFill>
              <a:latin typeface="Arial"/>
              <a:ea typeface="Arial"/>
              <a:cs typeface="Arial"/>
            </a:rPr>
            <a:t>"Model Age and</a:t>
          </a:r>
          <a:r>
            <a:rPr lang="en-US" sz="1200" b="0" i="0" u="none" strike="noStrike" baseline="0">
              <a:solidFill>
                <a:srgbClr val="000000"/>
              </a:solidFill>
              <a:latin typeface="Arial"/>
              <a:ea typeface="Arial"/>
              <a:cs typeface="Arial"/>
            </a:rPr>
            <a:t> </a:t>
          </a:r>
          <a:r>
            <a:rPr lang="en-US" sz="1200" b="1" i="0" u="none" strike="noStrike" baseline="0">
              <a:solidFill>
                <a:srgbClr val="000000"/>
              </a:solidFill>
              <a:latin typeface="Arial"/>
              <a:ea typeface="Arial"/>
              <a:cs typeface="Arial"/>
            </a:rPr>
            <a:t>Compositional Quick-Results"</a:t>
          </a:r>
          <a:r>
            <a:rPr lang="en-US" sz="1200" b="0" i="0" u="none" strike="noStrike" baseline="0">
              <a:solidFill>
                <a:srgbClr val="000000"/>
              </a:solidFill>
              <a:latin typeface="Arial"/>
              <a:ea typeface="Arial"/>
              <a:cs typeface="Arial"/>
            </a:rPr>
            <a:t> area is a subset of the more complete data reported in the </a:t>
          </a:r>
          <a:r>
            <a:rPr lang="en-US" sz="1200" b="1" i="0" u="none" strike="noStrike" baseline="0">
              <a:solidFill>
                <a:srgbClr val="000000"/>
              </a:solidFill>
              <a:latin typeface="Arial"/>
              <a:ea typeface="Arial"/>
              <a:cs typeface="Arial"/>
            </a:rPr>
            <a:t>U-Pb Data Table Output</a:t>
          </a:r>
          <a:r>
            <a:rPr lang="en-US" sz="1200" b="0" i="0" u="none" strike="noStrike" baseline="0">
              <a:solidFill>
                <a:srgbClr val="000000"/>
              </a:solidFill>
              <a:latin typeface="Arial"/>
              <a:ea typeface="Arial"/>
              <a:cs typeface="Arial"/>
            </a:rPr>
            <a:t> sheet.  Note that the footnotes of the</a:t>
          </a:r>
          <a:r>
            <a:rPr lang="en-US" sz="1200" b="1" i="0" u="none" strike="noStrike" baseline="0">
              <a:solidFill>
                <a:srgbClr val="000000"/>
              </a:solidFill>
              <a:latin typeface="Arial"/>
              <a:ea typeface="Arial"/>
              <a:cs typeface="Arial"/>
            </a:rPr>
            <a:t> U-Pb Data Table</a:t>
          </a:r>
          <a:r>
            <a:rPr lang="en-US" sz="1200" b="0" i="0" u="none" strike="noStrike" baseline="0">
              <a:solidFill>
                <a:srgbClr val="000000"/>
              </a:solidFill>
              <a:latin typeface="Arial"/>
              <a:ea typeface="Arial"/>
              <a:cs typeface="Arial"/>
            </a:rPr>
            <a:t> should be customized to your experimental method.</a:t>
          </a:r>
        </a:p>
        <a:p>
          <a:pPr algn="l" rtl="0">
            <a:defRPr sz="1000"/>
          </a:pPr>
          <a:endParaRPr lang="en-US" sz="1200" b="0" i="0" u="none" strike="noStrike" baseline="0">
            <a:solidFill>
              <a:srgbClr val="000000"/>
            </a:solidFill>
            <a:latin typeface="Arial"/>
            <a:ea typeface="Arial"/>
            <a:cs typeface="Arial"/>
          </a:endParaRPr>
        </a:p>
        <a:p>
          <a:pPr algn="l" rtl="0">
            <a:defRPr sz="1000"/>
          </a:pPr>
          <a:r>
            <a:rPr lang="en-US" sz="1200" b="1" i="0" u="none" strike="noStrike" baseline="0">
              <a:solidFill>
                <a:srgbClr val="000000"/>
              </a:solidFill>
              <a:latin typeface="Arial"/>
              <a:ea typeface="Arial"/>
              <a:cs typeface="Arial"/>
            </a:rPr>
            <a:t>b)</a:t>
          </a:r>
          <a:r>
            <a:rPr lang="en-US" sz="1200" b="0" i="0" u="none" strike="noStrike" baseline="0">
              <a:solidFill>
                <a:srgbClr val="000000"/>
              </a:solidFill>
              <a:latin typeface="Arial"/>
              <a:ea typeface="Arial"/>
              <a:cs typeface="Arial"/>
            </a:rPr>
            <a:t> This spreadsheet formulation will accommodate isotope dilution and fractionation corrections using any of the following spikes: </a:t>
          </a:r>
          <a:r>
            <a:rPr lang="en-US" sz="1200" b="0" i="0" u="none" strike="noStrike" baseline="30000">
              <a:solidFill>
                <a:srgbClr val="000000"/>
              </a:solidFill>
              <a:latin typeface="Arial"/>
              <a:ea typeface="Arial"/>
              <a:cs typeface="Arial"/>
            </a:rPr>
            <a:t>205</a:t>
          </a:r>
          <a:r>
            <a:rPr lang="en-US" sz="1200" b="0" i="0" u="none" strike="noStrike" baseline="0">
              <a:solidFill>
                <a:srgbClr val="000000"/>
              </a:solidFill>
              <a:latin typeface="Arial"/>
              <a:ea typeface="Arial"/>
              <a:cs typeface="Arial"/>
            </a:rPr>
            <a:t>Pb-</a:t>
          </a:r>
          <a:r>
            <a:rPr lang="en-US" sz="1200" b="0" i="0" u="none" strike="noStrike" baseline="30000">
              <a:solidFill>
                <a:srgbClr val="000000"/>
              </a:solidFill>
              <a:latin typeface="Arial"/>
              <a:ea typeface="Arial"/>
              <a:cs typeface="Arial"/>
            </a:rPr>
            <a:t>233</a:t>
          </a:r>
          <a:r>
            <a:rPr lang="en-US" sz="1200" b="0" i="0" u="none" strike="noStrike" baseline="0">
              <a:solidFill>
                <a:srgbClr val="000000"/>
              </a:solidFill>
              <a:latin typeface="Arial"/>
              <a:ea typeface="Arial"/>
              <a:cs typeface="Arial"/>
            </a:rPr>
            <a:t>U, "53"; </a:t>
          </a:r>
          <a:r>
            <a:rPr lang="en-US" sz="1200" b="0" i="0" u="none" strike="noStrike" baseline="30000">
              <a:solidFill>
                <a:srgbClr val="000000"/>
              </a:solidFill>
              <a:latin typeface="Arial"/>
              <a:ea typeface="Arial"/>
              <a:cs typeface="Arial"/>
            </a:rPr>
            <a:t>205</a:t>
          </a:r>
          <a:r>
            <a:rPr lang="en-US" sz="1200" b="0" i="0" u="none" strike="noStrike" baseline="0">
              <a:solidFill>
                <a:srgbClr val="000000"/>
              </a:solidFill>
              <a:latin typeface="Arial"/>
              <a:ea typeface="Arial"/>
              <a:cs typeface="Arial"/>
            </a:rPr>
            <a:t>Pb-</a:t>
          </a:r>
          <a:r>
            <a:rPr lang="en-US" sz="1200" b="0" i="0" u="none" strike="noStrike" baseline="30000">
              <a:solidFill>
                <a:srgbClr val="000000"/>
              </a:solidFill>
              <a:latin typeface="Arial"/>
              <a:ea typeface="Arial"/>
              <a:cs typeface="Arial"/>
            </a:rPr>
            <a:t>235</a:t>
          </a:r>
          <a:r>
            <a:rPr lang="en-US" sz="1200" b="0" i="0" u="none" strike="noStrike" baseline="0">
              <a:solidFill>
                <a:srgbClr val="000000"/>
              </a:solidFill>
              <a:latin typeface="Arial"/>
              <a:ea typeface="Arial"/>
              <a:cs typeface="Arial"/>
            </a:rPr>
            <a:t>U, "55"; </a:t>
          </a:r>
          <a:r>
            <a:rPr lang="en-US" sz="1200" b="0" i="0" u="none" strike="noStrike" baseline="30000">
              <a:solidFill>
                <a:srgbClr val="000000"/>
              </a:solidFill>
              <a:latin typeface="Arial"/>
              <a:ea typeface="Arial"/>
              <a:cs typeface="Arial"/>
            </a:rPr>
            <a:t>205</a:t>
          </a:r>
          <a:r>
            <a:rPr lang="en-US" sz="1200" b="0" i="0" u="none" strike="noStrike" baseline="0">
              <a:solidFill>
                <a:srgbClr val="000000"/>
              </a:solidFill>
              <a:latin typeface="Arial"/>
              <a:ea typeface="Arial"/>
              <a:cs typeface="Arial"/>
            </a:rPr>
            <a:t>Pb-</a:t>
          </a:r>
          <a:r>
            <a:rPr lang="en-US" sz="1200" b="0" i="0" u="none" strike="noStrike" baseline="30000">
              <a:solidFill>
                <a:srgbClr val="000000"/>
              </a:solidFill>
              <a:latin typeface="Arial"/>
              <a:ea typeface="Arial"/>
              <a:cs typeface="Arial"/>
            </a:rPr>
            <a:t>236</a:t>
          </a:r>
          <a:r>
            <a:rPr lang="en-US" sz="1200" b="0" i="0" u="none" strike="noStrike" baseline="0">
              <a:solidFill>
                <a:srgbClr val="000000"/>
              </a:solidFill>
              <a:latin typeface="Arial"/>
              <a:ea typeface="Arial"/>
              <a:cs typeface="Arial"/>
            </a:rPr>
            <a:t>U, "56"; </a:t>
          </a:r>
          <a:r>
            <a:rPr lang="en-US" sz="1200" b="0" i="0" u="none" strike="noStrike" baseline="30000">
              <a:solidFill>
                <a:srgbClr val="000000"/>
              </a:solidFill>
              <a:latin typeface="Arial"/>
              <a:ea typeface="Arial"/>
              <a:cs typeface="Arial"/>
            </a:rPr>
            <a:t>205</a:t>
          </a:r>
          <a:r>
            <a:rPr lang="en-US" sz="1200" b="0" i="0" u="none" strike="noStrike" baseline="0">
              <a:solidFill>
                <a:srgbClr val="000000"/>
              </a:solidFill>
              <a:latin typeface="Arial"/>
              <a:ea typeface="Arial"/>
              <a:cs typeface="Arial"/>
            </a:rPr>
            <a:t>Pb-</a:t>
          </a:r>
          <a:r>
            <a:rPr lang="en-US" sz="1200" b="0" i="0" u="none" strike="noStrike" baseline="30000">
              <a:solidFill>
                <a:srgbClr val="000000"/>
              </a:solidFill>
              <a:latin typeface="Arial"/>
              <a:ea typeface="Arial"/>
              <a:cs typeface="Arial"/>
            </a:rPr>
            <a:t>233</a:t>
          </a:r>
          <a:r>
            <a:rPr lang="en-US" sz="1200" b="0" i="0" u="none" strike="noStrike" baseline="0">
              <a:solidFill>
                <a:srgbClr val="000000"/>
              </a:solidFill>
              <a:latin typeface="Arial"/>
              <a:ea typeface="Arial"/>
              <a:cs typeface="Arial"/>
            </a:rPr>
            <a:t>U-</a:t>
          </a:r>
          <a:r>
            <a:rPr lang="en-US" sz="1200" b="0" i="0" u="none" strike="noStrike" baseline="30000">
              <a:solidFill>
                <a:srgbClr val="000000"/>
              </a:solidFill>
              <a:latin typeface="Arial"/>
              <a:ea typeface="Arial"/>
              <a:cs typeface="Arial"/>
            </a:rPr>
            <a:t>235</a:t>
          </a:r>
          <a:r>
            <a:rPr lang="en-US" sz="1200" b="0" i="0" u="none" strike="noStrike" baseline="0">
              <a:solidFill>
                <a:srgbClr val="000000"/>
              </a:solidFill>
              <a:latin typeface="Arial"/>
              <a:ea typeface="Arial"/>
              <a:cs typeface="Arial"/>
            </a:rPr>
            <a:t>U, "535"; </a:t>
          </a:r>
          <a:r>
            <a:rPr lang="en-US" sz="1200" b="0" i="0" u="none" strike="noStrike" baseline="30000">
              <a:solidFill>
                <a:srgbClr val="000000"/>
              </a:solidFill>
              <a:latin typeface="Arial"/>
              <a:ea typeface="Arial"/>
              <a:cs typeface="Arial"/>
            </a:rPr>
            <a:t>205</a:t>
          </a:r>
          <a:r>
            <a:rPr lang="en-US" sz="1200" b="0" i="0" u="none" strike="noStrike" baseline="0">
              <a:solidFill>
                <a:srgbClr val="000000"/>
              </a:solidFill>
              <a:latin typeface="Arial"/>
              <a:ea typeface="Arial"/>
              <a:cs typeface="Arial"/>
            </a:rPr>
            <a:t>Pb-</a:t>
          </a:r>
          <a:r>
            <a:rPr lang="en-US" sz="1200" b="0" i="0" u="none" strike="noStrike" baseline="30000">
              <a:solidFill>
                <a:srgbClr val="000000"/>
              </a:solidFill>
              <a:latin typeface="Arial"/>
              <a:ea typeface="Arial"/>
              <a:cs typeface="Arial"/>
            </a:rPr>
            <a:t>233</a:t>
          </a:r>
          <a:r>
            <a:rPr lang="en-US" sz="1200" b="0" i="0" u="none" strike="noStrike" baseline="0">
              <a:solidFill>
                <a:srgbClr val="000000"/>
              </a:solidFill>
              <a:latin typeface="Arial"/>
              <a:ea typeface="Arial"/>
              <a:cs typeface="Arial"/>
            </a:rPr>
            <a:t>U-</a:t>
          </a:r>
          <a:r>
            <a:rPr lang="en-US" sz="1200" b="0" i="0" u="none" strike="noStrike" baseline="30000">
              <a:solidFill>
                <a:srgbClr val="000000"/>
              </a:solidFill>
              <a:latin typeface="Arial"/>
              <a:ea typeface="Arial"/>
              <a:cs typeface="Arial"/>
            </a:rPr>
            <a:t>236</a:t>
          </a:r>
          <a:r>
            <a:rPr lang="en-US" sz="1200" b="0" i="0" u="none" strike="noStrike" baseline="0">
              <a:solidFill>
                <a:srgbClr val="000000"/>
              </a:solidFill>
              <a:latin typeface="Arial"/>
              <a:ea typeface="Arial"/>
              <a:cs typeface="Arial"/>
            </a:rPr>
            <a:t>U, "536"; </a:t>
          </a:r>
          <a:r>
            <a:rPr lang="en-US" sz="1200" b="0" i="0" u="none" strike="noStrike" baseline="30000">
              <a:solidFill>
                <a:srgbClr val="000000"/>
              </a:solidFill>
              <a:latin typeface="Arial"/>
              <a:ea typeface="Arial"/>
              <a:cs typeface="Arial"/>
            </a:rPr>
            <a:t>202</a:t>
          </a:r>
          <a:r>
            <a:rPr lang="en-US" sz="1200" b="0" i="0" u="none" strike="noStrike" baseline="0">
              <a:solidFill>
                <a:srgbClr val="000000"/>
              </a:solidFill>
              <a:latin typeface="Arial"/>
              <a:ea typeface="Arial"/>
              <a:cs typeface="Arial"/>
            </a:rPr>
            <a:t>Pb-</a:t>
          </a:r>
          <a:r>
            <a:rPr lang="en-US" sz="1200" b="0" i="0" u="none" strike="noStrike" baseline="30000">
              <a:solidFill>
                <a:srgbClr val="000000"/>
              </a:solidFill>
              <a:latin typeface="Arial"/>
              <a:ea typeface="Arial"/>
              <a:cs typeface="Arial"/>
            </a:rPr>
            <a:t>205</a:t>
          </a:r>
          <a:r>
            <a:rPr lang="en-US" sz="1200" b="0" i="0" u="none" strike="noStrike" baseline="0">
              <a:solidFill>
                <a:srgbClr val="000000"/>
              </a:solidFill>
              <a:latin typeface="Arial"/>
              <a:ea typeface="Arial"/>
              <a:cs typeface="Arial"/>
            </a:rPr>
            <a:t>Pb-</a:t>
          </a:r>
          <a:r>
            <a:rPr lang="en-US" sz="1200" b="0" i="0" u="none" strike="noStrike" baseline="30000">
              <a:solidFill>
                <a:srgbClr val="000000"/>
              </a:solidFill>
              <a:latin typeface="Arial"/>
              <a:ea typeface="Arial"/>
              <a:cs typeface="Arial"/>
            </a:rPr>
            <a:t>233</a:t>
          </a:r>
          <a:r>
            <a:rPr lang="en-US" sz="1200" b="0" i="0" u="none" strike="noStrike" baseline="0">
              <a:solidFill>
                <a:srgbClr val="000000"/>
              </a:solidFill>
              <a:latin typeface="Arial"/>
              <a:ea typeface="Arial"/>
              <a:cs typeface="Arial"/>
            </a:rPr>
            <a:t>U-</a:t>
          </a:r>
          <a:r>
            <a:rPr lang="en-US" sz="1200" b="0" i="0" u="none" strike="noStrike" baseline="30000">
              <a:solidFill>
                <a:srgbClr val="000000"/>
              </a:solidFill>
              <a:latin typeface="Arial"/>
              <a:ea typeface="Arial"/>
              <a:cs typeface="Arial"/>
            </a:rPr>
            <a:t>235</a:t>
          </a:r>
          <a:r>
            <a:rPr lang="en-US" sz="1200" b="0" i="0" u="none" strike="noStrike" baseline="0">
              <a:solidFill>
                <a:srgbClr val="000000"/>
              </a:solidFill>
              <a:latin typeface="Arial"/>
              <a:ea typeface="Arial"/>
              <a:cs typeface="Arial"/>
            </a:rPr>
            <a:t>U, "2535"; and </a:t>
          </a:r>
          <a:r>
            <a:rPr lang="en-US" sz="1200" b="0" i="0" u="none" strike="noStrike" baseline="30000">
              <a:solidFill>
                <a:srgbClr val="000000"/>
              </a:solidFill>
              <a:latin typeface="Arial"/>
              <a:ea typeface="Arial"/>
              <a:cs typeface="Arial"/>
            </a:rPr>
            <a:t>202</a:t>
          </a:r>
          <a:r>
            <a:rPr lang="en-US" sz="1200" b="0" i="0" u="none" strike="noStrike" baseline="0">
              <a:solidFill>
                <a:srgbClr val="000000"/>
              </a:solidFill>
              <a:latin typeface="Arial"/>
              <a:ea typeface="Arial"/>
              <a:cs typeface="Arial"/>
            </a:rPr>
            <a:t>Pb-</a:t>
          </a:r>
          <a:r>
            <a:rPr lang="en-US" sz="1200" b="0" i="0" u="none" strike="noStrike" baseline="30000">
              <a:solidFill>
                <a:srgbClr val="000000"/>
              </a:solidFill>
              <a:latin typeface="Arial"/>
              <a:ea typeface="Arial"/>
              <a:cs typeface="Arial"/>
            </a:rPr>
            <a:t>205</a:t>
          </a:r>
          <a:r>
            <a:rPr lang="en-US" sz="1200" b="0" i="0" u="none" strike="noStrike" baseline="0">
              <a:solidFill>
                <a:srgbClr val="000000"/>
              </a:solidFill>
              <a:latin typeface="Arial"/>
              <a:ea typeface="Arial"/>
              <a:cs typeface="Arial"/>
            </a:rPr>
            <a:t>Pb-</a:t>
          </a:r>
          <a:r>
            <a:rPr lang="en-US" sz="1200" b="0" i="0" u="none" strike="noStrike" baseline="30000">
              <a:solidFill>
                <a:srgbClr val="000000"/>
              </a:solidFill>
              <a:latin typeface="Arial"/>
              <a:ea typeface="Arial"/>
              <a:cs typeface="Arial"/>
            </a:rPr>
            <a:t>233</a:t>
          </a:r>
          <a:r>
            <a:rPr lang="en-US" sz="1200" b="0" i="0" u="none" strike="noStrike" baseline="0">
              <a:solidFill>
                <a:srgbClr val="000000"/>
              </a:solidFill>
              <a:latin typeface="Arial"/>
              <a:ea typeface="Arial"/>
              <a:cs typeface="Arial"/>
            </a:rPr>
            <a:t>U-</a:t>
          </a:r>
          <a:r>
            <a:rPr lang="en-US" sz="1200" b="0" i="0" u="none" strike="noStrike" baseline="30000">
              <a:solidFill>
                <a:srgbClr val="000000"/>
              </a:solidFill>
              <a:latin typeface="Arial"/>
              <a:ea typeface="Arial"/>
              <a:cs typeface="Arial"/>
            </a:rPr>
            <a:t>236</a:t>
          </a:r>
          <a:r>
            <a:rPr lang="en-US" sz="1200" b="0" i="0" u="none" strike="noStrike" baseline="0">
              <a:solidFill>
                <a:srgbClr val="000000"/>
              </a:solidFill>
              <a:latin typeface="Arial"/>
              <a:ea typeface="Arial"/>
              <a:cs typeface="Arial"/>
            </a:rPr>
            <a:t>U, "2536".  In the case of Pb double spike, the isotope dilution calculation is determined from the </a:t>
          </a:r>
          <a:r>
            <a:rPr lang="en-US" sz="1200" b="0" i="0" u="none" strike="noStrike" baseline="30000">
              <a:solidFill>
                <a:srgbClr val="000000"/>
              </a:solidFill>
              <a:latin typeface="Arial"/>
              <a:ea typeface="Arial"/>
              <a:cs typeface="Arial"/>
            </a:rPr>
            <a:t>205</a:t>
          </a:r>
          <a:r>
            <a:rPr lang="en-US" sz="1200" b="0" i="0" u="none" strike="noStrike" baseline="0">
              <a:solidFill>
                <a:srgbClr val="000000"/>
              </a:solidFill>
              <a:latin typeface="Arial"/>
              <a:ea typeface="Arial"/>
              <a:cs typeface="Arial"/>
            </a:rPr>
            <a:t>Pb concentration.  In the case of uranium double spikes, the isotope dilution calculation is determined from the</a:t>
          </a:r>
          <a:r>
            <a:rPr lang="en-US" sz="1200" b="0" i="0" u="none" strike="noStrike" baseline="30000">
              <a:solidFill>
                <a:srgbClr val="000000"/>
              </a:solidFill>
              <a:latin typeface="Arial"/>
              <a:ea typeface="Arial"/>
              <a:cs typeface="Arial"/>
            </a:rPr>
            <a:t> 235</a:t>
          </a:r>
          <a:r>
            <a:rPr lang="en-US" sz="1200" b="0" i="0" u="none" strike="noStrike" baseline="0">
              <a:solidFill>
                <a:srgbClr val="000000"/>
              </a:solidFill>
              <a:latin typeface="Arial"/>
              <a:ea typeface="Arial"/>
              <a:cs typeface="Arial"/>
            </a:rPr>
            <a:t>U or </a:t>
          </a:r>
          <a:r>
            <a:rPr lang="en-US" sz="1200" b="0" i="0" u="none" strike="noStrike" baseline="30000">
              <a:solidFill>
                <a:srgbClr val="000000"/>
              </a:solidFill>
              <a:latin typeface="Arial"/>
              <a:ea typeface="Arial"/>
              <a:cs typeface="Arial"/>
            </a:rPr>
            <a:t>236</a:t>
          </a:r>
          <a:r>
            <a:rPr lang="en-US" sz="1200" b="0" i="0" u="none" strike="noStrike" baseline="0">
              <a:solidFill>
                <a:srgbClr val="000000"/>
              </a:solidFill>
              <a:latin typeface="Arial"/>
              <a:ea typeface="Arial"/>
              <a:cs typeface="Arial"/>
            </a:rPr>
            <a:t>U concentration (not </a:t>
          </a:r>
          <a:r>
            <a:rPr lang="en-US" sz="1200" b="0" i="0" u="none" strike="noStrike" baseline="30000">
              <a:solidFill>
                <a:srgbClr val="000000"/>
              </a:solidFill>
              <a:latin typeface="Arial"/>
              <a:ea typeface="Arial"/>
              <a:cs typeface="Arial"/>
            </a:rPr>
            <a:t>233</a:t>
          </a:r>
          <a:r>
            <a:rPr lang="en-US" sz="1200" b="0" i="0" u="none" strike="noStrike" baseline="0">
              <a:solidFill>
                <a:srgbClr val="000000"/>
              </a:solidFill>
              <a:latin typeface="Arial"/>
              <a:ea typeface="Arial"/>
              <a:cs typeface="Arial"/>
            </a:rPr>
            <a:t>U).   Note that in both measured and tracer isotope ratio inputs, </a:t>
          </a:r>
          <a:r>
            <a:rPr lang="en-US" sz="1200" b="0" i="0" u="none" strike="noStrike" baseline="30000">
              <a:solidFill>
                <a:srgbClr val="000000"/>
              </a:solidFill>
              <a:latin typeface="Arial"/>
              <a:ea typeface="Arial"/>
              <a:cs typeface="Arial"/>
            </a:rPr>
            <a:t>23X</a:t>
          </a:r>
          <a:r>
            <a:rPr lang="en-US" sz="1200" b="0" i="0" u="none" strike="noStrike" baseline="0">
              <a:solidFill>
                <a:srgbClr val="000000"/>
              </a:solidFill>
              <a:latin typeface="Arial"/>
              <a:ea typeface="Arial"/>
              <a:cs typeface="Arial"/>
            </a:rPr>
            <a:t>U designates either the </a:t>
          </a:r>
          <a:r>
            <a:rPr lang="en-US" sz="1200" b="0" i="0" u="none" strike="noStrike" baseline="30000">
              <a:solidFill>
                <a:srgbClr val="000000"/>
              </a:solidFill>
              <a:latin typeface="Arial"/>
              <a:ea typeface="Arial"/>
              <a:cs typeface="Arial"/>
            </a:rPr>
            <a:t>235</a:t>
          </a:r>
          <a:r>
            <a:rPr lang="en-US" sz="1200" b="0" i="0" u="none" strike="noStrike" baseline="0">
              <a:solidFill>
                <a:srgbClr val="000000"/>
              </a:solidFill>
              <a:latin typeface="Arial"/>
              <a:ea typeface="Arial"/>
              <a:cs typeface="Arial"/>
            </a:rPr>
            <a:t>U or </a:t>
          </a:r>
          <a:r>
            <a:rPr lang="en-US" sz="1200" b="0" i="0" u="none" strike="noStrike" baseline="30000">
              <a:solidFill>
                <a:srgbClr val="000000"/>
              </a:solidFill>
              <a:latin typeface="Arial"/>
              <a:ea typeface="Arial"/>
              <a:cs typeface="Arial"/>
            </a:rPr>
            <a:t>236</a:t>
          </a:r>
          <a:r>
            <a:rPr lang="en-US" sz="1200" b="0" i="0" u="none" strike="noStrike" baseline="0">
              <a:solidFill>
                <a:srgbClr val="000000"/>
              </a:solidFill>
              <a:latin typeface="Arial"/>
              <a:ea typeface="Arial"/>
              <a:cs typeface="Arial"/>
            </a:rPr>
            <a:t>U isotope; for example you input either </a:t>
          </a:r>
          <a:r>
            <a:rPr lang="en-US" sz="1200" b="0" i="0" u="none" strike="noStrike" baseline="30000">
              <a:solidFill>
                <a:srgbClr val="000000"/>
              </a:solidFill>
              <a:latin typeface="Arial"/>
              <a:ea typeface="Arial"/>
              <a:cs typeface="Arial"/>
            </a:rPr>
            <a:t>238</a:t>
          </a:r>
          <a:r>
            <a:rPr lang="en-US" sz="1200" b="0" i="0" u="none" strike="noStrike" baseline="0">
              <a:solidFill>
                <a:srgbClr val="000000"/>
              </a:solidFill>
              <a:latin typeface="Arial"/>
              <a:ea typeface="Arial"/>
              <a:cs typeface="Arial"/>
            </a:rPr>
            <a:t>U/</a:t>
          </a:r>
          <a:r>
            <a:rPr lang="en-US" sz="1200" b="0" i="0" u="none" strike="noStrike" baseline="30000">
              <a:solidFill>
                <a:srgbClr val="000000"/>
              </a:solidFill>
              <a:latin typeface="Arial"/>
              <a:ea typeface="Arial"/>
              <a:cs typeface="Arial"/>
            </a:rPr>
            <a:t>235</a:t>
          </a:r>
          <a:r>
            <a:rPr lang="en-US" sz="1200" b="0" i="0" u="none" strike="noStrike" baseline="0">
              <a:solidFill>
                <a:srgbClr val="000000"/>
              </a:solidFill>
              <a:latin typeface="Arial"/>
              <a:ea typeface="Arial"/>
              <a:cs typeface="Arial"/>
            </a:rPr>
            <a:t>U or </a:t>
          </a:r>
          <a:r>
            <a:rPr lang="en-US" sz="1200" b="0" i="0" u="none" strike="noStrike" baseline="30000">
              <a:solidFill>
                <a:srgbClr val="000000"/>
              </a:solidFill>
              <a:latin typeface="Arial"/>
              <a:ea typeface="Arial"/>
              <a:cs typeface="Arial"/>
            </a:rPr>
            <a:t>238</a:t>
          </a:r>
          <a:r>
            <a:rPr lang="en-US" sz="1200" b="0" i="0" u="none" strike="noStrike" baseline="0">
              <a:solidFill>
                <a:srgbClr val="000000"/>
              </a:solidFill>
              <a:latin typeface="Arial"/>
              <a:ea typeface="Arial"/>
              <a:cs typeface="Arial"/>
            </a:rPr>
            <a:t>U/</a:t>
          </a:r>
          <a:r>
            <a:rPr lang="en-US" sz="1200" b="0" i="0" u="none" strike="noStrike" baseline="30000">
              <a:solidFill>
                <a:srgbClr val="000000"/>
              </a:solidFill>
              <a:latin typeface="Arial"/>
              <a:ea typeface="Arial"/>
              <a:cs typeface="Arial"/>
            </a:rPr>
            <a:t>236</a:t>
          </a:r>
          <a:r>
            <a:rPr lang="en-US" sz="1200" b="0" i="0" u="none" strike="noStrike" baseline="0">
              <a:solidFill>
                <a:srgbClr val="000000"/>
              </a:solidFill>
              <a:latin typeface="Arial"/>
              <a:ea typeface="Arial"/>
              <a:cs typeface="Arial"/>
            </a:rPr>
            <a:t>U for </a:t>
          </a:r>
          <a:r>
            <a:rPr lang="en-US" sz="1200" b="0" i="0" u="none" strike="noStrike" baseline="30000">
              <a:solidFill>
                <a:srgbClr val="000000"/>
              </a:solidFill>
              <a:latin typeface="Arial"/>
              <a:ea typeface="Arial"/>
              <a:cs typeface="Arial"/>
            </a:rPr>
            <a:t>238</a:t>
          </a:r>
          <a:r>
            <a:rPr lang="en-US" sz="1200" b="0" i="0" u="none" strike="noStrike" baseline="0">
              <a:solidFill>
                <a:srgbClr val="000000"/>
              </a:solidFill>
              <a:latin typeface="Arial"/>
              <a:ea typeface="Arial"/>
              <a:cs typeface="Arial"/>
            </a:rPr>
            <a:t>U/</a:t>
          </a:r>
          <a:r>
            <a:rPr lang="en-US" sz="1200" b="0" i="0" u="none" strike="noStrike" baseline="30000">
              <a:solidFill>
                <a:srgbClr val="000000"/>
              </a:solidFill>
              <a:latin typeface="Arial"/>
              <a:ea typeface="Arial"/>
              <a:cs typeface="Arial"/>
            </a:rPr>
            <a:t>23X</a:t>
          </a:r>
          <a:r>
            <a:rPr lang="en-US" sz="1200" b="0" i="0" u="none" strike="noStrike" baseline="0">
              <a:solidFill>
                <a:srgbClr val="000000"/>
              </a:solidFill>
              <a:latin typeface="Arial"/>
              <a:ea typeface="Arial"/>
              <a:cs typeface="Arial"/>
            </a:rPr>
            <a:t>U ratios depending upon your spike.  Also, </a:t>
          </a:r>
          <a:r>
            <a:rPr lang="en-US" sz="1200" b="0" i="0" u="none" strike="noStrike" baseline="30000">
              <a:solidFill>
                <a:srgbClr val="000000"/>
              </a:solidFill>
              <a:latin typeface="Arial"/>
              <a:ea typeface="Arial"/>
              <a:cs typeface="Arial"/>
            </a:rPr>
            <a:t>238</a:t>
          </a:r>
          <a:r>
            <a:rPr lang="en-US" sz="1200" b="0" i="0" u="none" strike="noStrike" baseline="0">
              <a:solidFill>
                <a:srgbClr val="000000"/>
              </a:solidFill>
              <a:latin typeface="Arial"/>
              <a:ea typeface="Arial"/>
              <a:cs typeface="Arial"/>
            </a:rPr>
            <a:t>U/</a:t>
          </a:r>
          <a:r>
            <a:rPr lang="en-US" sz="1200" b="0" i="0" u="none" strike="noStrike" baseline="30000">
              <a:solidFill>
                <a:srgbClr val="000000"/>
              </a:solidFill>
              <a:latin typeface="Arial"/>
              <a:ea typeface="Arial"/>
              <a:cs typeface="Arial"/>
            </a:rPr>
            <a:t>233</a:t>
          </a:r>
          <a:r>
            <a:rPr lang="en-US" sz="1200" b="0" i="0" u="none" strike="noStrike" baseline="0">
              <a:solidFill>
                <a:srgbClr val="000000"/>
              </a:solidFill>
              <a:latin typeface="Arial"/>
              <a:ea typeface="Arial"/>
              <a:cs typeface="Arial"/>
            </a:rPr>
            <a:t>U ratios (measured or tracer) are not required for </a:t>
          </a:r>
          <a:r>
            <a:rPr lang="en-US" sz="1200" b="0" i="0" u="none" strike="noStrike" baseline="30000">
              <a:solidFill>
                <a:srgbClr val="000000"/>
              </a:solidFill>
              <a:latin typeface="Arial"/>
              <a:ea typeface="Arial"/>
              <a:cs typeface="Arial"/>
            </a:rPr>
            <a:t>233</a:t>
          </a:r>
          <a:r>
            <a:rPr lang="en-US" sz="1200" b="0" i="0" u="none" strike="noStrike" baseline="0">
              <a:solidFill>
                <a:srgbClr val="000000"/>
              </a:solidFill>
              <a:latin typeface="Arial"/>
              <a:ea typeface="Arial"/>
              <a:cs typeface="Arial"/>
            </a:rPr>
            <a:t>U-</a:t>
          </a:r>
          <a:r>
            <a:rPr lang="en-US" sz="1200" b="0" i="0" u="none" strike="noStrike" baseline="30000">
              <a:solidFill>
                <a:srgbClr val="000000"/>
              </a:solidFill>
              <a:latin typeface="Arial"/>
              <a:ea typeface="Arial"/>
              <a:cs typeface="Arial"/>
            </a:rPr>
            <a:t>236</a:t>
          </a:r>
          <a:r>
            <a:rPr lang="en-US" sz="1200" b="0" i="0" u="none" strike="noStrike" baseline="0">
              <a:solidFill>
                <a:srgbClr val="000000"/>
              </a:solidFill>
              <a:latin typeface="Arial"/>
              <a:ea typeface="Arial"/>
              <a:cs typeface="Arial"/>
            </a:rPr>
            <a:t>U spiked samples.  The spike composition shipped with the template is the current accepted composition of the ET2535 spike (which is currently assumed to be the same as the ET535 spike plus </a:t>
          </a:r>
          <a:r>
            <a:rPr lang="en-US" sz="1200" b="0" i="0" u="none" strike="noStrike" baseline="30000">
              <a:solidFill>
                <a:srgbClr val="000000"/>
              </a:solidFill>
              <a:latin typeface="Arial"/>
              <a:ea typeface="Arial"/>
              <a:cs typeface="Arial"/>
            </a:rPr>
            <a:t>202</a:t>
          </a:r>
          <a:r>
            <a:rPr lang="en-US" sz="1200" b="0" i="0" u="none" strike="noStrike" baseline="0">
              <a:solidFill>
                <a:srgbClr val="000000"/>
              </a:solidFill>
              <a:latin typeface="Arial"/>
              <a:ea typeface="Arial"/>
              <a:cs typeface="Arial"/>
            </a:rPr>
            <a:t>Pb); check the EARTHTIME site (http:/www.earth-time.org) for updates to this composition.  If you are using a different spike then input that composition into the "Spike Composition" input area.</a:t>
          </a:r>
        </a:p>
        <a:p>
          <a:pPr algn="l" rtl="0">
            <a:defRPr sz="1000"/>
          </a:pPr>
          <a:endParaRPr lang="en-US" sz="1200" b="0" i="0" u="none" strike="noStrike" baseline="0">
            <a:solidFill>
              <a:srgbClr val="000000"/>
            </a:solidFill>
            <a:latin typeface="Arial"/>
            <a:ea typeface="Arial"/>
            <a:cs typeface="Arial"/>
          </a:endParaRPr>
        </a:p>
        <a:p>
          <a:pPr algn="l" rtl="0">
            <a:defRPr sz="1000"/>
          </a:pPr>
          <a:r>
            <a:rPr lang="en-US" sz="1200" b="1" i="0" u="none" strike="noStrike" baseline="0">
              <a:solidFill>
                <a:srgbClr val="000000"/>
              </a:solidFill>
              <a:latin typeface="Arial"/>
              <a:ea typeface="Arial"/>
              <a:cs typeface="Arial"/>
            </a:rPr>
            <a:t>c)</a:t>
          </a:r>
          <a:r>
            <a:rPr lang="en-US" sz="1200" b="0" i="0" u="none" strike="noStrike" baseline="0">
              <a:solidFill>
                <a:srgbClr val="000000"/>
              </a:solidFill>
              <a:latin typeface="Arial"/>
              <a:ea typeface="Arial"/>
              <a:cs typeface="Arial"/>
            </a:rPr>
            <a:t> The appropriate means of isotope dilution and internal or external fractionation calculations for both Pb and U isotopes are automated through the specification of the spike type in row 6 (needed for all spikes), and the detector type in row 7 (needed for single Pb and/or U spikes).  If using a single Pb or single U isotope spike, the external fractionation factors must be specified in the </a:t>
          </a:r>
          <a:r>
            <a:rPr lang="en-US" sz="1200" b="1" i="0" u="none" strike="noStrike" baseline="0">
              <a:solidFill>
                <a:srgbClr val="000000"/>
              </a:solidFill>
              <a:latin typeface="Arial"/>
              <a:ea typeface="Arial"/>
              <a:cs typeface="Arial"/>
            </a:rPr>
            <a:t>"Laboratory and Sample Constants"</a:t>
          </a:r>
          <a:r>
            <a:rPr lang="en-US" sz="1200" b="0" i="0" u="none" strike="noStrike" baseline="0">
              <a:solidFill>
                <a:srgbClr val="000000"/>
              </a:solidFill>
              <a:latin typeface="Arial"/>
              <a:ea typeface="Arial"/>
              <a:cs typeface="Arial"/>
            </a:rPr>
            <a:t> area.</a:t>
          </a:r>
        </a:p>
        <a:p>
          <a:pPr algn="l" rtl="0">
            <a:defRPr sz="1000"/>
          </a:pPr>
          <a:endParaRPr lang="en-US" sz="1200" b="0" i="0" u="none" strike="noStrike" baseline="0">
            <a:solidFill>
              <a:srgbClr val="000000"/>
            </a:solidFill>
            <a:latin typeface="Arial"/>
            <a:ea typeface="Arial"/>
            <a:cs typeface="Arial"/>
          </a:endParaRPr>
        </a:p>
        <a:p>
          <a:pPr algn="l" rtl="0">
            <a:defRPr sz="1000"/>
          </a:pPr>
          <a:r>
            <a:rPr lang="en-US" sz="1200" b="1" i="0" u="none" strike="noStrike" baseline="0">
              <a:solidFill>
                <a:srgbClr val="000000"/>
              </a:solidFill>
              <a:latin typeface="Arial"/>
              <a:ea typeface="Arial"/>
              <a:cs typeface="Arial"/>
            </a:rPr>
            <a:t>d)</a:t>
          </a:r>
          <a:r>
            <a:rPr lang="en-US" sz="1200" b="0" i="0" u="none" strike="noStrike" baseline="0">
              <a:solidFill>
                <a:srgbClr val="000000"/>
              </a:solidFill>
              <a:latin typeface="Arial"/>
              <a:ea typeface="Arial"/>
              <a:cs typeface="Arial"/>
            </a:rPr>
            <a:t> If using Tripoli, you can rewrite the equations in the purple </a:t>
          </a:r>
          <a:r>
            <a:rPr lang="en-US" sz="1200" b="1" i="1" u="none" strike="noStrike" baseline="0">
              <a:solidFill>
                <a:srgbClr val="000000"/>
              </a:solidFill>
              <a:latin typeface="Arial"/>
              <a:ea typeface="Arial"/>
              <a:cs typeface="Arial"/>
            </a:rPr>
            <a:t>"Copy and Paste Values to Fraction"</a:t>
          </a:r>
          <a:r>
            <a:rPr lang="en-US" sz="1200" b="0" i="0" u="none" strike="noStrike" baseline="0">
              <a:solidFill>
                <a:srgbClr val="000000"/>
              </a:solidFill>
              <a:latin typeface="Arial"/>
              <a:ea typeface="Arial"/>
              <a:cs typeface="Arial"/>
            </a:rPr>
            <a:t> column (F) to put all the ratios and errors pasted into column C from Tripoli  into the appropriate order, and then copy and paste the values of the purple cells of column F into the appropriate green sample fraction column.</a:t>
          </a:r>
        </a:p>
        <a:p>
          <a:pPr algn="l" rtl="0">
            <a:defRPr sz="1000"/>
          </a:pPr>
          <a:endParaRPr lang="en-US" sz="1200" b="0" i="0" u="none" strike="noStrike" baseline="0">
            <a:solidFill>
              <a:srgbClr val="000000"/>
            </a:solidFill>
            <a:latin typeface="Arial"/>
            <a:ea typeface="Arial"/>
            <a:cs typeface="Arial"/>
          </a:endParaRPr>
        </a:p>
        <a:p>
          <a:pPr algn="l" rtl="0">
            <a:defRPr sz="1000"/>
          </a:pPr>
          <a:r>
            <a:rPr lang="en-US" sz="1200" b="1" i="0" u="none" strike="noStrike" baseline="0">
              <a:solidFill>
                <a:srgbClr val="000000"/>
              </a:solidFill>
              <a:latin typeface="Arial"/>
              <a:ea typeface="Arial"/>
              <a:cs typeface="Arial"/>
            </a:rPr>
            <a:t>e) </a:t>
          </a:r>
          <a:r>
            <a:rPr lang="en-US" sz="1200" b="0" i="0" u="none" strike="noStrike" baseline="0">
              <a:solidFill>
                <a:srgbClr val="000000"/>
              </a:solidFill>
              <a:latin typeface="Arial"/>
              <a:ea typeface="Arial"/>
              <a:cs typeface="Arial"/>
            </a:rPr>
            <a:t>The "</a:t>
          </a:r>
          <a:r>
            <a:rPr lang="en-US" sz="1200" b="1" i="1" u="none" strike="noStrike" baseline="0">
              <a:solidFill>
                <a:srgbClr val="000000"/>
              </a:solidFill>
              <a:latin typeface="Arial"/>
              <a:ea typeface="Arial"/>
              <a:cs typeface="Arial"/>
            </a:rPr>
            <a:t>Pb Initial Composition"</a:t>
          </a:r>
          <a:r>
            <a:rPr lang="en-US" sz="1200" b="0" i="0" u="none" strike="noStrike" baseline="0">
              <a:solidFill>
                <a:srgbClr val="000000"/>
              </a:solidFill>
              <a:latin typeface="Arial"/>
              <a:ea typeface="Arial"/>
              <a:cs typeface="Arial"/>
            </a:rPr>
            <a:t> is calculated from the Stacey and Kramers (1975) two-stage model Pb evolution curve at the input estimated sample age (&lt;3.7 Ga).  If you prefer to input custom initial Pb compositions you can type these directly into cells W52-W54 (just remember to replace the Stacey-Kramers equations - you can find them in the </a:t>
          </a:r>
          <a:r>
            <a:rPr lang="en-US" sz="1200" b="1" i="0" u="none" strike="noStrike" baseline="0">
              <a:solidFill>
                <a:srgbClr val="000000"/>
              </a:solidFill>
              <a:latin typeface="Arial"/>
              <a:ea typeface="Arial"/>
              <a:cs typeface="Arial"/>
            </a:rPr>
            <a:t>Data Reduction Engine</a:t>
          </a:r>
          <a:r>
            <a:rPr lang="en-US" sz="1200" b="0" i="0" u="none" strike="noStrike" baseline="0">
              <a:solidFill>
                <a:srgbClr val="000000"/>
              </a:solidFill>
              <a:latin typeface="Arial"/>
              <a:ea typeface="Arial"/>
              <a:cs typeface="Arial"/>
            </a:rPr>
            <a:t> page - if you go back to this method for other samples).</a:t>
          </a:r>
        </a:p>
        <a:p>
          <a:pPr algn="l" rtl="0">
            <a:defRPr sz="1000"/>
          </a:pPr>
          <a:endParaRPr lang="en-US" sz="1200" b="0" i="0" u="none" strike="noStrike" baseline="0">
            <a:solidFill>
              <a:srgbClr val="000000"/>
            </a:solidFill>
            <a:latin typeface="Arial"/>
            <a:ea typeface="Arial"/>
            <a:cs typeface="Arial"/>
          </a:endParaRPr>
        </a:p>
        <a:p>
          <a:pPr algn="l" rtl="0">
            <a:defRPr sz="1000"/>
          </a:pPr>
          <a:r>
            <a:rPr lang="en-US" sz="1200" b="1" i="0" u="none" strike="noStrike" baseline="0">
              <a:solidFill>
                <a:srgbClr val="000000"/>
              </a:solidFill>
              <a:latin typeface="Arial"/>
              <a:ea typeface="Arial"/>
              <a:cs typeface="Arial"/>
            </a:rPr>
            <a:t>f) </a:t>
          </a:r>
          <a:r>
            <a:rPr lang="en-US" sz="1200" b="0" i="0" u="none" strike="noStrike" baseline="0">
              <a:solidFill>
                <a:srgbClr val="000000"/>
              </a:solidFill>
              <a:latin typeface="Arial"/>
              <a:ea typeface="Arial"/>
              <a:cs typeface="Arial"/>
            </a:rPr>
            <a:t>If you are running uranium as a dioxide and not doing an online mass spectrometer software correction for the isobaric interference of </a:t>
          </a:r>
          <a:r>
            <a:rPr lang="en-US" sz="1200" b="0" i="0" u="none" strike="noStrike" baseline="30000">
              <a:solidFill>
                <a:srgbClr val="000000"/>
              </a:solidFill>
              <a:latin typeface="Arial"/>
              <a:ea typeface="Arial"/>
              <a:cs typeface="Arial"/>
            </a:rPr>
            <a:t>18</a:t>
          </a:r>
          <a:r>
            <a:rPr lang="en-US" sz="1200" b="0" i="0" u="none" strike="noStrike" baseline="0">
              <a:solidFill>
                <a:srgbClr val="000000"/>
              </a:solidFill>
              <a:latin typeface="Arial"/>
              <a:ea typeface="Arial"/>
              <a:cs typeface="Arial"/>
            </a:rPr>
            <a:t>O-bearing molecules, then you can use (depending upon your spike composition) one of the </a:t>
          </a:r>
          <a:r>
            <a:rPr lang="en-US" sz="1200" b="1" i="1" u="none" strike="noStrike" baseline="0">
              <a:solidFill>
                <a:srgbClr val="000000"/>
              </a:solidFill>
              <a:latin typeface="Arial"/>
              <a:ea typeface="Arial"/>
              <a:cs typeface="Arial"/>
            </a:rPr>
            <a:t>"Offline U Oxide Correction Calculator"</a:t>
          </a:r>
          <a:r>
            <a:rPr lang="en-US" sz="1200" b="0" i="0" u="none" strike="noStrike" baseline="0">
              <a:solidFill>
                <a:srgbClr val="000000"/>
              </a:solidFill>
              <a:latin typeface="Arial"/>
              <a:ea typeface="Arial"/>
              <a:cs typeface="Arial"/>
            </a:rPr>
            <a:t> to correct measured UO</a:t>
          </a:r>
          <a:r>
            <a:rPr lang="en-US" sz="1200" b="0" i="0" u="none" strike="noStrike" baseline="-25000">
              <a:solidFill>
                <a:srgbClr val="000000"/>
              </a:solidFill>
              <a:latin typeface="Arial"/>
              <a:ea typeface="Arial"/>
              <a:cs typeface="Arial"/>
            </a:rPr>
            <a:t>2</a:t>
          </a:r>
          <a:r>
            <a:rPr lang="en-US" sz="1200" b="0" i="0" u="none" strike="noStrike" baseline="0">
              <a:solidFill>
                <a:srgbClr val="000000"/>
              </a:solidFill>
              <a:latin typeface="Arial"/>
              <a:ea typeface="Arial"/>
              <a:cs typeface="Arial"/>
            </a:rPr>
            <a:t> ratios to actual U atomic ratios, for input into the appropriate green sample fraction columns in </a:t>
          </a:r>
          <a:r>
            <a:rPr lang="en-US" sz="1200" b="1" i="1" u="none" strike="noStrike" baseline="0">
              <a:solidFill>
                <a:srgbClr val="000000"/>
              </a:solidFill>
              <a:latin typeface="Arial"/>
              <a:ea typeface="Arial"/>
              <a:cs typeface="Arial"/>
            </a:rPr>
            <a:t>"Sample Information".</a:t>
          </a:r>
          <a:r>
            <a:rPr lang="en-US" sz="1200" b="0" i="0" u="none" strike="noStrike" baseline="0">
              <a:solidFill>
                <a:srgbClr val="000000"/>
              </a:solidFill>
              <a:latin typeface="Arial"/>
              <a:ea typeface="Arial"/>
              <a:cs typeface="Arial"/>
            </a:rPr>
            <a:t>  This correction is based on the </a:t>
          </a:r>
          <a:r>
            <a:rPr lang="en-US" sz="1200" b="0" i="0" u="none" strike="noStrike" baseline="30000">
              <a:solidFill>
                <a:srgbClr val="000000"/>
              </a:solidFill>
              <a:latin typeface="Arial"/>
              <a:ea typeface="Arial"/>
              <a:cs typeface="Arial"/>
            </a:rPr>
            <a:t>18</a:t>
          </a:r>
          <a:r>
            <a:rPr lang="en-US" sz="1200" b="0" i="0" u="none" strike="noStrike" baseline="0">
              <a:solidFill>
                <a:srgbClr val="000000"/>
              </a:solidFill>
              <a:latin typeface="Arial"/>
              <a:ea typeface="Arial"/>
              <a:cs typeface="Arial"/>
            </a:rPr>
            <a:t>O/</a:t>
          </a:r>
          <a:r>
            <a:rPr lang="en-US" sz="1200" b="0" i="0" u="none" strike="noStrike" baseline="30000">
              <a:solidFill>
                <a:srgbClr val="000000"/>
              </a:solidFill>
              <a:latin typeface="Arial"/>
              <a:ea typeface="Arial"/>
              <a:cs typeface="Arial"/>
            </a:rPr>
            <a:t>16</a:t>
          </a:r>
          <a:r>
            <a:rPr lang="en-US" sz="1200" b="0" i="0" u="none" strike="noStrike" baseline="0">
              <a:solidFill>
                <a:srgbClr val="000000"/>
              </a:solidFill>
              <a:latin typeface="Arial"/>
              <a:ea typeface="Arial"/>
              <a:cs typeface="Arial"/>
            </a:rPr>
            <a:t>O ratio input into cell C59.  Unless you have a different measurement of the </a:t>
          </a:r>
          <a:r>
            <a:rPr lang="en-US" sz="1200" b="0" i="0" u="none" strike="noStrike" baseline="30000">
              <a:solidFill>
                <a:srgbClr val="000000"/>
              </a:solidFill>
              <a:latin typeface="Arial"/>
              <a:ea typeface="Arial"/>
              <a:cs typeface="Arial"/>
            </a:rPr>
            <a:t>18</a:t>
          </a:r>
          <a:r>
            <a:rPr lang="en-US" sz="1200" b="0" i="0" u="none" strike="noStrike" baseline="0">
              <a:solidFill>
                <a:srgbClr val="000000"/>
              </a:solidFill>
              <a:latin typeface="Arial"/>
              <a:ea typeface="Arial"/>
              <a:cs typeface="Arial"/>
            </a:rPr>
            <a:t>O/</a:t>
          </a:r>
          <a:r>
            <a:rPr lang="en-US" sz="1200" b="0" i="0" u="none" strike="noStrike" baseline="30000">
              <a:solidFill>
                <a:srgbClr val="000000"/>
              </a:solidFill>
              <a:latin typeface="Arial"/>
              <a:ea typeface="Arial"/>
              <a:cs typeface="Arial"/>
            </a:rPr>
            <a:t>16</a:t>
          </a:r>
          <a:r>
            <a:rPr lang="en-US" sz="1200" b="0" i="0" u="none" strike="noStrike" baseline="0">
              <a:solidFill>
                <a:srgbClr val="000000"/>
              </a:solidFill>
              <a:latin typeface="Arial"/>
              <a:ea typeface="Arial"/>
              <a:cs typeface="Arial"/>
            </a:rPr>
            <a:t>O ratio for your mass spectrometry, use the recommended IUPAC 2003 value of 0.00205 shipped with the template.</a:t>
          </a:r>
        </a:p>
        <a:p>
          <a:pPr algn="l" rtl="0">
            <a:defRPr sz="1000"/>
          </a:pPr>
          <a:endParaRPr lang="en-US" sz="1200" b="0" i="0" u="none" strike="noStrike" baseline="0">
            <a:solidFill>
              <a:srgbClr val="000000"/>
            </a:solidFill>
            <a:latin typeface="Arial"/>
            <a:ea typeface="Arial"/>
            <a:cs typeface="Arial"/>
          </a:endParaRPr>
        </a:p>
        <a:p>
          <a:pPr algn="l" rtl="0">
            <a:defRPr sz="1000"/>
          </a:pPr>
          <a:r>
            <a:rPr lang="en-US" sz="1200" b="1" i="0" u="none" strike="noStrike" baseline="0">
              <a:solidFill>
                <a:srgbClr val="000000"/>
              </a:solidFill>
              <a:latin typeface="Arial"/>
              <a:ea typeface="Arial"/>
              <a:cs typeface="Arial"/>
            </a:rPr>
            <a:t>g) </a:t>
          </a:r>
          <a:r>
            <a:rPr lang="en-US" sz="1200" b="0" i="0" u="none" strike="noStrike" baseline="0">
              <a:solidFill>
                <a:srgbClr val="000000"/>
              </a:solidFill>
              <a:latin typeface="Arial"/>
              <a:ea typeface="Arial"/>
              <a:cs typeface="Arial"/>
            </a:rPr>
            <a:t>Please report any problems or suggestions regarding this spreadsheet to Dr. Mark Schmitz, Isotope Geology Laboratory, Boise State University at &lt;markschmitz@boisestate.edu&gt;.  In the spirit of open source software, you are encouraged to explore the algorithms in the </a:t>
          </a:r>
          <a:r>
            <a:rPr lang="en-US" sz="1200" b="1" i="0" u="none" strike="noStrike" baseline="0">
              <a:solidFill>
                <a:srgbClr val="000000"/>
              </a:solidFill>
              <a:latin typeface="Arial"/>
              <a:ea typeface="Arial"/>
              <a:cs typeface="Arial"/>
            </a:rPr>
            <a:t>Data Reduction Engine,</a:t>
          </a:r>
          <a:r>
            <a:rPr lang="en-US" sz="1200" b="0" i="0" u="none" strike="noStrike" baseline="0">
              <a:solidFill>
                <a:srgbClr val="000000"/>
              </a:solidFill>
              <a:latin typeface="Arial"/>
              <a:ea typeface="Arial"/>
              <a:cs typeface="Arial"/>
            </a:rPr>
            <a:t> and modify this page to suit your specific needs (although we take no responsibility for such modifications).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6</xdr:col>
      <xdr:colOff>0</xdr:colOff>
      <xdr:row>25</xdr:row>
      <xdr:rowOff>12700</xdr:rowOff>
    </xdr:to>
    <xdr:graphicFrame macro="">
      <xdr:nvGraphicFramePr>
        <xdr:cNvPr id="1046515" name="Chart 1">
          <a:extLst>
            <a:ext uri="{FF2B5EF4-FFF2-40B4-BE49-F238E27FC236}">
              <a16:creationId xmlns:a16="http://schemas.microsoft.com/office/drawing/2014/main" id="{84AAC672-1E8F-A845-995F-08FDCF3951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25</xdr:row>
      <xdr:rowOff>0</xdr:rowOff>
    </xdr:from>
    <xdr:to>
      <xdr:col>6</xdr:col>
      <xdr:colOff>0</xdr:colOff>
      <xdr:row>49</xdr:row>
      <xdr:rowOff>0</xdr:rowOff>
    </xdr:to>
    <xdr:graphicFrame macro="">
      <xdr:nvGraphicFramePr>
        <xdr:cNvPr id="1046516" name="Chart 2">
          <a:extLst>
            <a:ext uri="{FF2B5EF4-FFF2-40B4-BE49-F238E27FC236}">
              <a16:creationId xmlns:a16="http://schemas.microsoft.com/office/drawing/2014/main" id="{77B05D36-E06B-E040-B870-3E1B134C91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1</xdr:row>
      <xdr:rowOff>0</xdr:rowOff>
    </xdr:from>
    <xdr:to>
      <xdr:col>11</xdr:col>
      <xdr:colOff>0</xdr:colOff>
      <xdr:row>25</xdr:row>
      <xdr:rowOff>12700</xdr:rowOff>
    </xdr:to>
    <xdr:graphicFrame macro="">
      <xdr:nvGraphicFramePr>
        <xdr:cNvPr id="1046517" name="Chart 1">
          <a:extLst>
            <a:ext uri="{FF2B5EF4-FFF2-40B4-BE49-F238E27FC236}">
              <a16:creationId xmlns:a16="http://schemas.microsoft.com/office/drawing/2014/main" id="{05347898-BD09-3947-825D-F8E774D473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25</xdr:row>
      <xdr:rowOff>0</xdr:rowOff>
    </xdr:from>
    <xdr:to>
      <xdr:col>11</xdr:col>
      <xdr:colOff>0</xdr:colOff>
      <xdr:row>49</xdr:row>
      <xdr:rowOff>0</xdr:rowOff>
    </xdr:to>
    <xdr:graphicFrame macro="">
      <xdr:nvGraphicFramePr>
        <xdr:cNvPr id="1046518" name="Chart 2">
          <a:extLst>
            <a:ext uri="{FF2B5EF4-FFF2-40B4-BE49-F238E27FC236}">
              <a16:creationId xmlns:a16="http://schemas.microsoft.com/office/drawing/2014/main" id="{DB910AEB-11AD-614E-B089-1B16875AB7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0</xdr:colOff>
      <xdr:row>1</xdr:row>
      <xdr:rowOff>0</xdr:rowOff>
    </xdr:from>
    <xdr:to>
      <xdr:col>16</xdr:col>
      <xdr:colOff>0</xdr:colOff>
      <xdr:row>25</xdr:row>
      <xdr:rowOff>12700</xdr:rowOff>
    </xdr:to>
    <xdr:graphicFrame macro="">
      <xdr:nvGraphicFramePr>
        <xdr:cNvPr id="1046519" name="Chart 1">
          <a:extLst>
            <a:ext uri="{FF2B5EF4-FFF2-40B4-BE49-F238E27FC236}">
              <a16:creationId xmlns:a16="http://schemas.microsoft.com/office/drawing/2014/main" id="{B522DF6F-9CDC-4048-B9D3-1AEBF9B058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25</xdr:row>
      <xdr:rowOff>0</xdr:rowOff>
    </xdr:from>
    <xdr:to>
      <xdr:col>16</xdr:col>
      <xdr:colOff>0</xdr:colOff>
      <xdr:row>49</xdr:row>
      <xdr:rowOff>0</xdr:rowOff>
    </xdr:to>
    <xdr:graphicFrame macro="">
      <xdr:nvGraphicFramePr>
        <xdr:cNvPr id="1046520" name="Chart 2">
          <a:extLst>
            <a:ext uri="{FF2B5EF4-FFF2-40B4-BE49-F238E27FC236}">
              <a16:creationId xmlns:a16="http://schemas.microsoft.com/office/drawing/2014/main" id="{9288D2A8-45F4-4A48-91AD-9454040CA8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0</xdr:colOff>
      <xdr:row>1</xdr:row>
      <xdr:rowOff>0</xdr:rowOff>
    </xdr:from>
    <xdr:to>
      <xdr:col>21</xdr:col>
      <xdr:colOff>0</xdr:colOff>
      <xdr:row>25</xdr:row>
      <xdr:rowOff>12700</xdr:rowOff>
    </xdr:to>
    <xdr:graphicFrame macro="">
      <xdr:nvGraphicFramePr>
        <xdr:cNvPr id="1046521" name="Chart 1">
          <a:extLst>
            <a:ext uri="{FF2B5EF4-FFF2-40B4-BE49-F238E27FC236}">
              <a16:creationId xmlns:a16="http://schemas.microsoft.com/office/drawing/2014/main" id="{AF7B4DAD-D88C-0E4C-AA31-2C7AE8A96A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0</xdr:colOff>
      <xdr:row>25</xdr:row>
      <xdr:rowOff>0</xdr:rowOff>
    </xdr:from>
    <xdr:to>
      <xdr:col>21</xdr:col>
      <xdr:colOff>0</xdr:colOff>
      <xdr:row>49</xdr:row>
      <xdr:rowOff>0</xdr:rowOff>
    </xdr:to>
    <xdr:graphicFrame macro="">
      <xdr:nvGraphicFramePr>
        <xdr:cNvPr id="1046522" name="Chart 2">
          <a:extLst>
            <a:ext uri="{FF2B5EF4-FFF2-40B4-BE49-F238E27FC236}">
              <a16:creationId xmlns:a16="http://schemas.microsoft.com/office/drawing/2014/main" id="{990E723B-990F-F042-9AE8-E86A16DA5D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21</xdr:col>
      <xdr:colOff>0</xdr:colOff>
      <xdr:row>1</xdr:row>
      <xdr:rowOff>0</xdr:rowOff>
    </xdr:from>
    <xdr:to>
      <xdr:col>26</xdr:col>
      <xdr:colOff>0</xdr:colOff>
      <xdr:row>25</xdr:row>
      <xdr:rowOff>12700</xdr:rowOff>
    </xdr:to>
    <xdr:graphicFrame macro="">
      <xdr:nvGraphicFramePr>
        <xdr:cNvPr id="1046523" name="Chart 1">
          <a:extLst>
            <a:ext uri="{FF2B5EF4-FFF2-40B4-BE49-F238E27FC236}">
              <a16:creationId xmlns:a16="http://schemas.microsoft.com/office/drawing/2014/main" id="{0B5CBE68-3807-AD4B-8E39-79CFB16E10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21</xdr:col>
      <xdr:colOff>0</xdr:colOff>
      <xdr:row>25</xdr:row>
      <xdr:rowOff>0</xdr:rowOff>
    </xdr:from>
    <xdr:to>
      <xdr:col>26</xdr:col>
      <xdr:colOff>0</xdr:colOff>
      <xdr:row>49</xdr:row>
      <xdr:rowOff>0</xdr:rowOff>
    </xdr:to>
    <xdr:graphicFrame macro="">
      <xdr:nvGraphicFramePr>
        <xdr:cNvPr id="1046524" name="Chart 2">
          <a:extLst>
            <a:ext uri="{FF2B5EF4-FFF2-40B4-BE49-F238E27FC236}">
              <a16:creationId xmlns:a16="http://schemas.microsoft.com/office/drawing/2014/main" id="{812B5468-2768-1A43-95E6-4AA818B953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26</xdr:col>
      <xdr:colOff>0</xdr:colOff>
      <xdr:row>1</xdr:row>
      <xdr:rowOff>0</xdr:rowOff>
    </xdr:from>
    <xdr:to>
      <xdr:col>31</xdr:col>
      <xdr:colOff>0</xdr:colOff>
      <xdr:row>25</xdr:row>
      <xdr:rowOff>12700</xdr:rowOff>
    </xdr:to>
    <xdr:graphicFrame macro="">
      <xdr:nvGraphicFramePr>
        <xdr:cNvPr id="1046525" name="Chart 1">
          <a:extLst>
            <a:ext uri="{FF2B5EF4-FFF2-40B4-BE49-F238E27FC236}">
              <a16:creationId xmlns:a16="http://schemas.microsoft.com/office/drawing/2014/main" id="{1A00AE67-D3B2-7941-8165-6A55B0B3D8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26</xdr:col>
      <xdr:colOff>0</xdr:colOff>
      <xdr:row>25</xdr:row>
      <xdr:rowOff>0</xdr:rowOff>
    </xdr:from>
    <xdr:to>
      <xdr:col>31</xdr:col>
      <xdr:colOff>0</xdr:colOff>
      <xdr:row>49</xdr:row>
      <xdr:rowOff>0</xdr:rowOff>
    </xdr:to>
    <xdr:graphicFrame macro="">
      <xdr:nvGraphicFramePr>
        <xdr:cNvPr id="1046526" name="Chart 2">
          <a:extLst>
            <a:ext uri="{FF2B5EF4-FFF2-40B4-BE49-F238E27FC236}">
              <a16:creationId xmlns:a16="http://schemas.microsoft.com/office/drawing/2014/main" id="{4548E085-2C07-0447-B9D3-988106A191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31</xdr:col>
      <xdr:colOff>0</xdr:colOff>
      <xdr:row>1</xdr:row>
      <xdr:rowOff>0</xdr:rowOff>
    </xdr:from>
    <xdr:to>
      <xdr:col>36</xdr:col>
      <xdr:colOff>0</xdr:colOff>
      <xdr:row>25</xdr:row>
      <xdr:rowOff>12700</xdr:rowOff>
    </xdr:to>
    <xdr:graphicFrame macro="">
      <xdr:nvGraphicFramePr>
        <xdr:cNvPr id="1046527" name="Chart 1">
          <a:extLst>
            <a:ext uri="{FF2B5EF4-FFF2-40B4-BE49-F238E27FC236}">
              <a16:creationId xmlns:a16="http://schemas.microsoft.com/office/drawing/2014/main" id="{F69550C9-C9EB-D44F-93A4-B2EAF022AF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31</xdr:col>
      <xdr:colOff>0</xdr:colOff>
      <xdr:row>25</xdr:row>
      <xdr:rowOff>0</xdr:rowOff>
    </xdr:from>
    <xdr:to>
      <xdr:col>36</xdr:col>
      <xdr:colOff>0</xdr:colOff>
      <xdr:row>49</xdr:row>
      <xdr:rowOff>0</xdr:rowOff>
    </xdr:to>
    <xdr:graphicFrame macro="">
      <xdr:nvGraphicFramePr>
        <xdr:cNvPr id="2095104" name="Chart 2">
          <a:extLst>
            <a:ext uri="{FF2B5EF4-FFF2-40B4-BE49-F238E27FC236}">
              <a16:creationId xmlns:a16="http://schemas.microsoft.com/office/drawing/2014/main" id="{8E2EEFC8-F7DE-DC4B-BA35-FEA480DBB2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36</xdr:col>
      <xdr:colOff>0</xdr:colOff>
      <xdr:row>1</xdr:row>
      <xdr:rowOff>0</xdr:rowOff>
    </xdr:from>
    <xdr:to>
      <xdr:col>41</xdr:col>
      <xdr:colOff>0</xdr:colOff>
      <xdr:row>25</xdr:row>
      <xdr:rowOff>12700</xdr:rowOff>
    </xdr:to>
    <xdr:graphicFrame macro="">
      <xdr:nvGraphicFramePr>
        <xdr:cNvPr id="2095105" name="Chart 1">
          <a:extLst>
            <a:ext uri="{FF2B5EF4-FFF2-40B4-BE49-F238E27FC236}">
              <a16:creationId xmlns:a16="http://schemas.microsoft.com/office/drawing/2014/main" id="{C783DD07-30B9-6A45-87F5-C6AF81D817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36</xdr:col>
      <xdr:colOff>0</xdr:colOff>
      <xdr:row>25</xdr:row>
      <xdr:rowOff>0</xdr:rowOff>
    </xdr:from>
    <xdr:to>
      <xdr:col>41</xdr:col>
      <xdr:colOff>0</xdr:colOff>
      <xdr:row>49</xdr:row>
      <xdr:rowOff>0</xdr:rowOff>
    </xdr:to>
    <xdr:graphicFrame macro="">
      <xdr:nvGraphicFramePr>
        <xdr:cNvPr id="2095106" name="Chart 2">
          <a:extLst>
            <a:ext uri="{FF2B5EF4-FFF2-40B4-BE49-F238E27FC236}">
              <a16:creationId xmlns:a16="http://schemas.microsoft.com/office/drawing/2014/main" id="{0DF0B22B-6328-DE44-B4FC-2CA3156AFD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41</xdr:col>
      <xdr:colOff>0</xdr:colOff>
      <xdr:row>1</xdr:row>
      <xdr:rowOff>0</xdr:rowOff>
    </xdr:from>
    <xdr:to>
      <xdr:col>46</xdr:col>
      <xdr:colOff>0</xdr:colOff>
      <xdr:row>25</xdr:row>
      <xdr:rowOff>12700</xdr:rowOff>
    </xdr:to>
    <xdr:graphicFrame macro="">
      <xdr:nvGraphicFramePr>
        <xdr:cNvPr id="2095107" name="Chart 1">
          <a:extLst>
            <a:ext uri="{FF2B5EF4-FFF2-40B4-BE49-F238E27FC236}">
              <a16:creationId xmlns:a16="http://schemas.microsoft.com/office/drawing/2014/main" id="{BBE8BA40-9E66-964E-990A-41BD75097F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41</xdr:col>
      <xdr:colOff>0</xdr:colOff>
      <xdr:row>25</xdr:row>
      <xdr:rowOff>0</xdr:rowOff>
    </xdr:from>
    <xdr:to>
      <xdr:col>46</xdr:col>
      <xdr:colOff>0</xdr:colOff>
      <xdr:row>49</xdr:row>
      <xdr:rowOff>0</xdr:rowOff>
    </xdr:to>
    <xdr:graphicFrame macro="">
      <xdr:nvGraphicFramePr>
        <xdr:cNvPr id="2095108" name="Chart 2">
          <a:extLst>
            <a:ext uri="{FF2B5EF4-FFF2-40B4-BE49-F238E27FC236}">
              <a16:creationId xmlns:a16="http://schemas.microsoft.com/office/drawing/2014/main" id="{3C9B3801-5B2C-E747-8D86-9C24848252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46</xdr:col>
      <xdr:colOff>0</xdr:colOff>
      <xdr:row>1</xdr:row>
      <xdr:rowOff>0</xdr:rowOff>
    </xdr:from>
    <xdr:to>
      <xdr:col>51</xdr:col>
      <xdr:colOff>0</xdr:colOff>
      <xdr:row>25</xdr:row>
      <xdr:rowOff>12700</xdr:rowOff>
    </xdr:to>
    <xdr:graphicFrame macro="">
      <xdr:nvGraphicFramePr>
        <xdr:cNvPr id="2095109" name="Chart 1">
          <a:extLst>
            <a:ext uri="{FF2B5EF4-FFF2-40B4-BE49-F238E27FC236}">
              <a16:creationId xmlns:a16="http://schemas.microsoft.com/office/drawing/2014/main" id="{A0A31604-7FB0-2743-93CC-6DB4AFCD21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46</xdr:col>
      <xdr:colOff>0</xdr:colOff>
      <xdr:row>25</xdr:row>
      <xdr:rowOff>0</xdr:rowOff>
    </xdr:from>
    <xdr:to>
      <xdr:col>51</xdr:col>
      <xdr:colOff>0</xdr:colOff>
      <xdr:row>49</xdr:row>
      <xdr:rowOff>0</xdr:rowOff>
    </xdr:to>
    <xdr:graphicFrame macro="">
      <xdr:nvGraphicFramePr>
        <xdr:cNvPr id="2095110" name="Chart 2">
          <a:extLst>
            <a:ext uri="{FF2B5EF4-FFF2-40B4-BE49-F238E27FC236}">
              <a16:creationId xmlns:a16="http://schemas.microsoft.com/office/drawing/2014/main" id="{4F571529-2499-904B-938A-67369F1A2E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51</xdr:col>
      <xdr:colOff>0</xdr:colOff>
      <xdr:row>1</xdr:row>
      <xdr:rowOff>0</xdr:rowOff>
    </xdr:from>
    <xdr:to>
      <xdr:col>56</xdr:col>
      <xdr:colOff>0</xdr:colOff>
      <xdr:row>25</xdr:row>
      <xdr:rowOff>12700</xdr:rowOff>
    </xdr:to>
    <xdr:graphicFrame macro="">
      <xdr:nvGraphicFramePr>
        <xdr:cNvPr id="2095111" name="Chart 1">
          <a:extLst>
            <a:ext uri="{FF2B5EF4-FFF2-40B4-BE49-F238E27FC236}">
              <a16:creationId xmlns:a16="http://schemas.microsoft.com/office/drawing/2014/main" id="{2750FEC0-4D81-DF4C-B922-B5CF9DAF59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51</xdr:col>
      <xdr:colOff>0</xdr:colOff>
      <xdr:row>25</xdr:row>
      <xdr:rowOff>0</xdr:rowOff>
    </xdr:from>
    <xdr:to>
      <xdr:col>56</xdr:col>
      <xdr:colOff>0</xdr:colOff>
      <xdr:row>49</xdr:row>
      <xdr:rowOff>0</xdr:rowOff>
    </xdr:to>
    <xdr:graphicFrame macro="">
      <xdr:nvGraphicFramePr>
        <xdr:cNvPr id="2095112" name="Chart 2">
          <a:extLst>
            <a:ext uri="{FF2B5EF4-FFF2-40B4-BE49-F238E27FC236}">
              <a16:creationId xmlns:a16="http://schemas.microsoft.com/office/drawing/2014/main" id="{C60CC610-4192-E242-AB48-3FDD67AC59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56</xdr:col>
      <xdr:colOff>0</xdr:colOff>
      <xdr:row>1</xdr:row>
      <xdr:rowOff>0</xdr:rowOff>
    </xdr:from>
    <xdr:to>
      <xdr:col>61</xdr:col>
      <xdr:colOff>0</xdr:colOff>
      <xdr:row>25</xdr:row>
      <xdr:rowOff>12700</xdr:rowOff>
    </xdr:to>
    <xdr:graphicFrame macro="">
      <xdr:nvGraphicFramePr>
        <xdr:cNvPr id="2095113" name="Chart 1">
          <a:extLst>
            <a:ext uri="{FF2B5EF4-FFF2-40B4-BE49-F238E27FC236}">
              <a16:creationId xmlns:a16="http://schemas.microsoft.com/office/drawing/2014/main" id="{96C02FA1-F2D4-6F4C-B82C-B0EA713DD9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56</xdr:col>
      <xdr:colOff>0</xdr:colOff>
      <xdr:row>25</xdr:row>
      <xdr:rowOff>0</xdr:rowOff>
    </xdr:from>
    <xdr:to>
      <xdr:col>61</xdr:col>
      <xdr:colOff>0</xdr:colOff>
      <xdr:row>49</xdr:row>
      <xdr:rowOff>0</xdr:rowOff>
    </xdr:to>
    <xdr:graphicFrame macro="">
      <xdr:nvGraphicFramePr>
        <xdr:cNvPr id="2095114" name="Chart 2">
          <a:extLst>
            <a:ext uri="{FF2B5EF4-FFF2-40B4-BE49-F238E27FC236}">
              <a16:creationId xmlns:a16="http://schemas.microsoft.com/office/drawing/2014/main" id="{616E7B53-D37F-A042-B410-B076C5128C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61</xdr:col>
      <xdr:colOff>0</xdr:colOff>
      <xdr:row>1</xdr:row>
      <xdr:rowOff>0</xdr:rowOff>
    </xdr:from>
    <xdr:to>
      <xdr:col>66</xdr:col>
      <xdr:colOff>0</xdr:colOff>
      <xdr:row>25</xdr:row>
      <xdr:rowOff>12700</xdr:rowOff>
    </xdr:to>
    <xdr:graphicFrame macro="">
      <xdr:nvGraphicFramePr>
        <xdr:cNvPr id="2095115" name="Chart 1">
          <a:extLst>
            <a:ext uri="{FF2B5EF4-FFF2-40B4-BE49-F238E27FC236}">
              <a16:creationId xmlns:a16="http://schemas.microsoft.com/office/drawing/2014/main" id="{923F5AE0-430F-C54F-83F3-75FF6FDC77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61</xdr:col>
      <xdr:colOff>0</xdr:colOff>
      <xdr:row>25</xdr:row>
      <xdr:rowOff>0</xdr:rowOff>
    </xdr:from>
    <xdr:to>
      <xdr:col>66</xdr:col>
      <xdr:colOff>0</xdr:colOff>
      <xdr:row>49</xdr:row>
      <xdr:rowOff>0</xdr:rowOff>
    </xdr:to>
    <xdr:graphicFrame macro="">
      <xdr:nvGraphicFramePr>
        <xdr:cNvPr id="2095116" name="Chart 2">
          <a:extLst>
            <a:ext uri="{FF2B5EF4-FFF2-40B4-BE49-F238E27FC236}">
              <a16:creationId xmlns:a16="http://schemas.microsoft.com/office/drawing/2014/main" id="{6BFC42C2-5C7A-E14A-AA8D-3077D4FA82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66</xdr:col>
      <xdr:colOff>0</xdr:colOff>
      <xdr:row>1</xdr:row>
      <xdr:rowOff>0</xdr:rowOff>
    </xdr:from>
    <xdr:to>
      <xdr:col>71</xdr:col>
      <xdr:colOff>0</xdr:colOff>
      <xdr:row>25</xdr:row>
      <xdr:rowOff>12700</xdr:rowOff>
    </xdr:to>
    <xdr:graphicFrame macro="">
      <xdr:nvGraphicFramePr>
        <xdr:cNvPr id="2095117" name="Chart 1">
          <a:extLst>
            <a:ext uri="{FF2B5EF4-FFF2-40B4-BE49-F238E27FC236}">
              <a16:creationId xmlns:a16="http://schemas.microsoft.com/office/drawing/2014/main" id="{3A03FE0C-CF92-ED44-B62A-C64B754F8E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66</xdr:col>
      <xdr:colOff>0</xdr:colOff>
      <xdr:row>25</xdr:row>
      <xdr:rowOff>0</xdr:rowOff>
    </xdr:from>
    <xdr:to>
      <xdr:col>71</xdr:col>
      <xdr:colOff>0</xdr:colOff>
      <xdr:row>49</xdr:row>
      <xdr:rowOff>0</xdr:rowOff>
    </xdr:to>
    <xdr:graphicFrame macro="">
      <xdr:nvGraphicFramePr>
        <xdr:cNvPr id="2095118" name="Chart 2">
          <a:extLst>
            <a:ext uri="{FF2B5EF4-FFF2-40B4-BE49-F238E27FC236}">
              <a16:creationId xmlns:a16="http://schemas.microsoft.com/office/drawing/2014/main" id="{62FEBF71-7C40-274E-9F17-C940CA98B4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71</xdr:col>
      <xdr:colOff>0</xdr:colOff>
      <xdr:row>1</xdr:row>
      <xdr:rowOff>0</xdr:rowOff>
    </xdr:from>
    <xdr:to>
      <xdr:col>76</xdr:col>
      <xdr:colOff>0</xdr:colOff>
      <xdr:row>25</xdr:row>
      <xdr:rowOff>12700</xdr:rowOff>
    </xdr:to>
    <xdr:graphicFrame macro="">
      <xdr:nvGraphicFramePr>
        <xdr:cNvPr id="2095119" name="Chart 1">
          <a:extLst>
            <a:ext uri="{FF2B5EF4-FFF2-40B4-BE49-F238E27FC236}">
              <a16:creationId xmlns:a16="http://schemas.microsoft.com/office/drawing/2014/main" id="{F1CA7518-2E26-B84C-B4E1-5416E8927D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71</xdr:col>
      <xdr:colOff>0</xdr:colOff>
      <xdr:row>25</xdr:row>
      <xdr:rowOff>0</xdr:rowOff>
    </xdr:from>
    <xdr:to>
      <xdr:col>76</xdr:col>
      <xdr:colOff>0</xdr:colOff>
      <xdr:row>49</xdr:row>
      <xdr:rowOff>0</xdr:rowOff>
    </xdr:to>
    <xdr:graphicFrame macro="">
      <xdr:nvGraphicFramePr>
        <xdr:cNvPr id="2095120" name="Chart 2">
          <a:extLst>
            <a:ext uri="{FF2B5EF4-FFF2-40B4-BE49-F238E27FC236}">
              <a16:creationId xmlns:a16="http://schemas.microsoft.com/office/drawing/2014/main" id="{B69ABF10-328E-5E4B-B7E1-FBEB90D486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51</xdr:row>
      <xdr:rowOff>0</xdr:rowOff>
    </xdr:from>
    <xdr:to>
      <xdr:col>6</xdr:col>
      <xdr:colOff>0</xdr:colOff>
      <xdr:row>75</xdr:row>
      <xdr:rowOff>12700</xdr:rowOff>
    </xdr:to>
    <xdr:graphicFrame macro="">
      <xdr:nvGraphicFramePr>
        <xdr:cNvPr id="2095121" name="Chart 1">
          <a:extLst>
            <a:ext uri="{FF2B5EF4-FFF2-40B4-BE49-F238E27FC236}">
              <a16:creationId xmlns:a16="http://schemas.microsoft.com/office/drawing/2014/main" id="{45512050-B3DD-6545-85AE-31228AB364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75</xdr:row>
      <xdr:rowOff>0</xdr:rowOff>
    </xdr:from>
    <xdr:to>
      <xdr:col>6</xdr:col>
      <xdr:colOff>0</xdr:colOff>
      <xdr:row>99</xdr:row>
      <xdr:rowOff>0</xdr:rowOff>
    </xdr:to>
    <xdr:graphicFrame macro="">
      <xdr:nvGraphicFramePr>
        <xdr:cNvPr id="2095122" name="Chart 2">
          <a:extLst>
            <a:ext uri="{FF2B5EF4-FFF2-40B4-BE49-F238E27FC236}">
              <a16:creationId xmlns:a16="http://schemas.microsoft.com/office/drawing/2014/main" id="{595FB7AE-9F0C-BC40-90BB-BB6ECA254A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6</xdr:col>
      <xdr:colOff>0</xdr:colOff>
      <xdr:row>51</xdr:row>
      <xdr:rowOff>0</xdr:rowOff>
    </xdr:from>
    <xdr:to>
      <xdr:col>11</xdr:col>
      <xdr:colOff>0</xdr:colOff>
      <xdr:row>75</xdr:row>
      <xdr:rowOff>12700</xdr:rowOff>
    </xdr:to>
    <xdr:graphicFrame macro="">
      <xdr:nvGraphicFramePr>
        <xdr:cNvPr id="2095123" name="Chart 1">
          <a:extLst>
            <a:ext uri="{FF2B5EF4-FFF2-40B4-BE49-F238E27FC236}">
              <a16:creationId xmlns:a16="http://schemas.microsoft.com/office/drawing/2014/main" id="{4FF74507-90D9-0046-89BC-B818583EDC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6</xdr:col>
      <xdr:colOff>0</xdr:colOff>
      <xdr:row>75</xdr:row>
      <xdr:rowOff>0</xdr:rowOff>
    </xdr:from>
    <xdr:to>
      <xdr:col>11</xdr:col>
      <xdr:colOff>0</xdr:colOff>
      <xdr:row>99</xdr:row>
      <xdr:rowOff>0</xdr:rowOff>
    </xdr:to>
    <xdr:graphicFrame macro="">
      <xdr:nvGraphicFramePr>
        <xdr:cNvPr id="2095124" name="Chart 2">
          <a:extLst>
            <a:ext uri="{FF2B5EF4-FFF2-40B4-BE49-F238E27FC236}">
              <a16:creationId xmlns:a16="http://schemas.microsoft.com/office/drawing/2014/main" id="{F3DF9615-10D8-E441-8C92-0F54629A81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11</xdr:col>
      <xdr:colOff>0</xdr:colOff>
      <xdr:row>51</xdr:row>
      <xdr:rowOff>0</xdr:rowOff>
    </xdr:from>
    <xdr:to>
      <xdr:col>16</xdr:col>
      <xdr:colOff>0</xdr:colOff>
      <xdr:row>75</xdr:row>
      <xdr:rowOff>12700</xdr:rowOff>
    </xdr:to>
    <xdr:graphicFrame macro="">
      <xdr:nvGraphicFramePr>
        <xdr:cNvPr id="2095125" name="Chart 1">
          <a:extLst>
            <a:ext uri="{FF2B5EF4-FFF2-40B4-BE49-F238E27FC236}">
              <a16:creationId xmlns:a16="http://schemas.microsoft.com/office/drawing/2014/main" id="{03500D85-8F46-3248-A5C6-BB8744FE9D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11</xdr:col>
      <xdr:colOff>0</xdr:colOff>
      <xdr:row>75</xdr:row>
      <xdr:rowOff>0</xdr:rowOff>
    </xdr:from>
    <xdr:to>
      <xdr:col>16</xdr:col>
      <xdr:colOff>0</xdr:colOff>
      <xdr:row>99</xdr:row>
      <xdr:rowOff>0</xdr:rowOff>
    </xdr:to>
    <xdr:graphicFrame macro="">
      <xdr:nvGraphicFramePr>
        <xdr:cNvPr id="2095126" name="Chart 2">
          <a:extLst>
            <a:ext uri="{FF2B5EF4-FFF2-40B4-BE49-F238E27FC236}">
              <a16:creationId xmlns:a16="http://schemas.microsoft.com/office/drawing/2014/main" id="{45BE3E16-BC8F-2F4A-8534-0CB36AAF2C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16</xdr:col>
      <xdr:colOff>0</xdr:colOff>
      <xdr:row>51</xdr:row>
      <xdr:rowOff>0</xdr:rowOff>
    </xdr:from>
    <xdr:to>
      <xdr:col>21</xdr:col>
      <xdr:colOff>0</xdr:colOff>
      <xdr:row>75</xdr:row>
      <xdr:rowOff>12700</xdr:rowOff>
    </xdr:to>
    <xdr:graphicFrame macro="">
      <xdr:nvGraphicFramePr>
        <xdr:cNvPr id="2095127" name="Chart 1">
          <a:extLst>
            <a:ext uri="{FF2B5EF4-FFF2-40B4-BE49-F238E27FC236}">
              <a16:creationId xmlns:a16="http://schemas.microsoft.com/office/drawing/2014/main" id="{9A2432A8-BDAC-244F-A61C-6E13CEBC46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16</xdr:col>
      <xdr:colOff>0</xdr:colOff>
      <xdr:row>75</xdr:row>
      <xdr:rowOff>0</xdr:rowOff>
    </xdr:from>
    <xdr:to>
      <xdr:col>21</xdr:col>
      <xdr:colOff>0</xdr:colOff>
      <xdr:row>99</xdr:row>
      <xdr:rowOff>0</xdr:rowOff>
    </xdr:to>
    <xdr:graphicFrame macro="">
      <xdr:nvGraphicFramePr>
        <xdr:cNvPr id="2095128" name="Chart 2">
          <a:extLst>
            <a:ext uri="{FF2B5EF4-FFF2-40B4-BE49-F238E27FC236}">
              <a16:creationId xmlns:a16="http://schemas.microsoft.com/office/drawing/2014/main" id="{1E0A06E4-DD2D-024E-8607-5AAD39DA2F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21</xdr:col>
      <xdr:colOff>0</xdr:colOff>
      <xdr:row>51</xdr:row>
      <xdr:rowOff>0</xdr:rowOff>
    </xdr:from>
    <xdr:to>
      <xdr:col>26</xdr:col>
      <xdr:colOff>0</xdr:colOff>
      <xdr:row>75</xdr:row>
      <xdr:rowOff>12700</xdr:rowOff>
    </xdr:to>
    <xdr:graphicFrame macro="">
      <xdr:nvGraphicFramePr>
        <xdr:cNvPr id="2095129" name="Chart 1">
          <a:extLst>
            <a:ext uri="{FF2B5EF4-FFF2-40B4-BE49-F238E27FC236}">
              <a16:creationId xmlns:a16="http://schemas.microsoft.com/office/drawing/2014/main" id="{61A814C4-C054-4A41-8739-DA28FEFBEF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21</xdr:col>
      <xdr:colOff>0</xdr:colOff>
      <xdr:row>75</xdr:row>
      <xdr:rowOff>0</xdr:rowOff>
    </xdr:from>
    <xdr:to>
      <xdr:col>26</xdr:col>
      <xdr:colOff>0</xdr:colOff>
      <xdr:row>99</xdr:row>
      <xdr:rowOff>0</xdr:rowOff>
    </xdr:to>
    <xdr:graphicFrame macro="">
      <xdr:nvGraphicFramePr>
        <xdr:cNvPr id="2095130" name="Chart 2">
          <a:extLst>
            <a:ext uri="{FF2B5EF4-FFF2-40B4-BE49-F238E27FC236}">
              <a16:creationId xmlns:a16="http://schemas.microsoft.com/office/drawing/2014/main" id="{591ABD3B-C686-BF4F-8A30-94A3598855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26</xdr:col>
      <xdr:colOff>0</xdr:colOff>
      <xdr:row>51</xdr:row>
      <xdr:rowOff>0</xdr:rowOff>
    </xdr:from>
    <xdr:to>
      <xdr:col>31</xdr:col>
      <xdr:colOff>0</xdr:colOff>
      <xdr:row>75</xdr:row>
      <xdr:rowOff>12700</xdr:rowOff>
    </xdr:to>
    <xdr:graphicFrame macro="">
      <xdr:nvGraphicFramePr>
        <xdr:cNvPr id="2095131" name="Chart 1">
          <a:extLst>
            <a:ext uri="{FF2B5EF4-FFF2-40B4-BE49-F238E27FC236}">
              <a16:creationId xmlns:a16="http://schemas.microsoft.com/office/drawing/2014/main" id="{30B74B3C-5219-FF41-9C2C-3C7C33B9DB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26</xdr:col>
      <xdr:colOff>0</xdr:colOff>
      <xdr:row>75</xdr:row>
      <xdr:rowOff>0</xdr:rowOff>
    </xdr:from>
    <xdr:to>
      <xdr:col>31</xdr:col>
      <xdr:colOff>0</xdr:colOff>
      <xdr:row>99</xdr:row>
      <xdr:rowOff>0</xdr:rowOff>
    </xdr:to>
    <xdr:graphicFrame macro="">
      <xdr:nvGraphicFramePr>
        <xdr:cNvPr id="2095132" name="Chart 2">
          <a:extLst>
            <a:ext uri="{FF2B5EF4-FFF2-40B4-BE49-F238E27FC236}">
              <a16:creationId xmlns:a16="http://schemas.microsoft.com/office/drawing/2014/main" id="{BF1EA4C8-D3E6-6B4E-A42E-4049120B60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31</xdr:col>
      <xdr:colOff>0</xdr:colOff>
      <xdr:row>51</xdr:row>
      <xdr:rowOff>0</xdr:rowOff>
    </xdr:from>
    <xdr:to>
      <xdr:col>36</xdr:col>
      <xdr:colOff>0</xdr:colOff>
      <xdr:row>75</xdr:row>
      <xdr:rowOff>12700</xdr:rowOff>
    </xdr:to>
    <xdr:graphicFrame macro="">
      <xdr:nvGraphicFramePr>
        <xdr:cNvPr id="2095133" name="Chart 1">
          <a:extLst>
            <a:ext uri="{FF2B5EF4-FFF2-40B4-BE49-F238E27FC236}">
              <a16:creationId xmlns:a16="http://schemas.microsoft.com/office/drawing/2014/main" id="{4FCFB23E-5F45-B54C-B88B-544E9BF704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31</xdr:col>
      <xdr:colOff>0</xdr:colOff>
      <xdr:row>75</xdr:row>
      <xdr:rowOff>0</xdr:rowOff>
    </xdr:from>
    <xdr:to>
      <xdr:col>36</xdr:col>
      <xdr:colOff>0</xdr:colOff>
      <xdr:row>99</xdr:row>
      <xdr:rowOff>0</xdr:rowOff>
    </xdr:to>
    <xdr:graphicFrame macro="">
      <xdr:nvGraphicFramePr>
        <xdr:cNvPr id="2095134" name="Chart 2">
          <a:extLst>
            <a:ext uri="{FF2B5EF4-FFF2-40B4-BE49-F238E27FC236}">
              <a16:creationId xmlns:a16="http://schemas.microsoft.com/office/drawing/2014/main" id="{B1530DC4-9F86-2E42-9B17-D6EAAB76D0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36</xdr:col>
      <xdr:colOff>0</xdr:colOff>
      <xdr:row>51</xdr:row>
      <xdr:rowOff>0</xdr:rowOff>
    </xdr:from>
    <xdr:to>
      <xdr:col>41</xdr:col>
      <xdr:colOff>0</xdr:colOff>
      <xdr:row>75</xdr:row>
      <xdr:rowOff>12700</xdr:rowOff>
    </xdr:to>
    <xdr:graphicFrame macro="">
      <xdr:nvGraphicFramePr>
        <xdr:cNvPr id="2095135" name="Chart 1">
          <a:extLst>
            <a:ext uri="{FF2B5EF4-FFF2-40B4-BE49-F238E27FC236}">
              <a16:creationId xmlns:a16="http://schemas.microsoft.com/office/drawing/2014/main" id="{542A46D8-4734-9548-B348-775286EBD8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36</xdr:col>
      <xdr:colOff>0</xdr:colOff>
      <xdr:row>75</xdr:row>
      <xdr:rowOff>0</xdr:rowOff>
    </xdr:from>
    <xdr:to>
      <xdr:col>41</xdr:col>
      <xdr:colOff>0</xdr:colOff>
      <xdr:row>99</xdr:row>
      <xdr:rowOff>0</xdr:rowOff>
    </xdr:to>
    <xdr:graphicFrame macro="">
      <xdr:nvGraphicFramePr>
        <xdr:cNvPr id="2095136" name="Chart 2">
          <a:extLst>
            <a:ext uri="{FF2B5EF4-FFF2-40B4-BE49-F238E27FC236}">
              <a16:creationId xmlns:a16="http://schemas.microsoft.com/office/drawing/2014/main" id="{05D54461-5D3D-6F41-A588-01CD5695D0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41</xdr:col>
      <xdr:colOff>0</xdr:colOff>
      <xdr:row>51</xdr:row>
      <xdr:rowOff>0</xdr:rowOff>
    </xdr:from>
    <xdr:to>
      <xdr:col>46</xdr:col>
      <xdr:colOff>0</xdr:colOff>
      <xdr:row>75</xdr:row>
      <xdr:rowOff>12700</xdr:rowOff>
    </xdr:to>
    <xdr:graphicFrame macro="">
      <xdr:nvGraphicFramePr>
        <xdr:cNvPr id="2095137" name="Chart 1">
          <a:extLst>
            <a:ext uri="{FF2B5EF4-FFF2-40B4-BE49-F238E27FC236}">
              <a16:creationId xmlns:a16="http://schemas.microsoft.com/office/drawing/2014/main" id="{34AF0FC4-E78C-454D-84A2-CC78609A07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41</xdr:col>
      <xdr:colOff>0</xdr:colOff>
      <xdr:row>75</xdr:row>
      <xdr:rowOff>0</xdr:rowOff>
    </xdr:from>
    <xdr:to>
      <xdr:col>46</xdr:col>
      <xdr:colOff>0</xdr:colOff>
      <xdr:row>99</xdr:row>
      <xdr:rowOff>0</xdr:rowOff>
    </xdr:to>
    <xdr:graphicFrame macro="">
      <xdr:nvGraphicFramePr>
        <xdr:cNvPr id="2095138" name="Chart 2">
          <a:extLst>
            <a:ext uri="{FF2B5EF4-FFF2-40B4-BE49-F238E27FC236}">
              <a16:creationId xmlns:a16="http://schemas.microsoft.com/office/drawing/2014/main" id="{12F992A2-726B-0341-A445-D93B32894F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46</xdr:col>
      <xdr:colOff>0</xdr:colOff>
      <xdr:row>51</xdr:row>
      <xdr:rowOff>0</xdr:rowOff>
    </xdr:from>
    <xdr:to>
      <xdr:col>51</xdr:col>
      <xdr:colOff>0</xdr:colOff>
      <xdr:row>75</xdr:row>
      <xdr:rowOff>12700</xdr:rowOff>
    </xdr:to>
    <xdr:graphicFrame macro="">
      <xdr:nvGraphicFramePr>
        <xdr:cNvPr id="2095139" name="Chart 1">
          <a:extLst>
            <a:ext uri="{FF2B5EF4-FFF2-40B4-BE49-F238E27FC236}">
              <a16:creationId xmlns:a16="http://schemas.microsoft.com/office/drawing/2014/main" id="{5DD5C209-A3F8-9444-AAF9-1134BE6922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46</xdr:col>
      <xdr:colOff>0</xdr:colOff>
      <xdr:row>75</xdr:row>
      <xdr:rowOff>0</xdr:rowOff>
    </xdr:from>
    <xdr:to>
      <xdr:col>51</xdr:col>
      <xdr:colOff>0</xdr:colOff>
      <xdr:row>99</xdr:row>
      <xdr:rowOff>0</xdr:rowOff>
    </xdr:to>
    <xdr:graphicFrame macro="">
      <xdr:nvGraphicFramePr>
        <xdr:cNvPr id="2095140" name="Chart 2">
          <a:extLst>
            <a:ext uri="{FF2B5EF4-FFF2-40B4-BE49-F238E27FC236}">
              <a16:creationId xmlns:a16="http://schemas.microsoft.com/office/drawing/2014/main" id="{029444B0-6490-8547-98F8-5D03730E53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51</xdr:col>
      <xdr:colOff>0</xdr:colOff>
      <xdr:row>51</xdr:row>
      <xdr:rowOff>0</xdr:rowOff>
    </xdr:from>
    <xdr:to>
      <xdr:col>56</xdr:col>
      <xdr:colOff>0</xdr:colOff>
      <xdr:row>75</xdr:row>
      <xdr:rowOff>12700</xdr:rowOff>
    </xdr:to>
    <xdr:graphicFrame macro="">
      <xdr:nvGraphicFramePr>
        <xdr:cNvPr id="2095141" name="Chart 1">
          <a:extLst>
            <a:ext uri="{FF2B5EF4-FFF2-40B4-BE49-F238E27FC236}">
              <a16:creationId xmlns:a16="http://schemas.microsoft.com/office/drawing/2014/main" id="{4921C90B-09ED-DC42-9220-E9F98A1D07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51</xdr:col>
      <xdr:colOff>0</xdr:colOff>
      <xdr:row>75</xdr:row>
      <xdr:rowOff>0</xdr:rowOff>
    </xdr:from>
    <xdr:to>
      <xdr:col>56</xdr:col>
      <xdr:colOff>0</xdr:colOff>
      <xdr:row>99</xdr:row>
      <xdr:rowOff>0</xdr:rowOff>
    </xdr:to>
    <xdr:graphicFrame macro="">
      <xdr:nvGraphicFramePr>
        <xdr:cNvPr id="2095142" name="Chart 2">
          <a:extLst>
            <a:ext uri="{FF2B5EF4-FFF2-40B4-BE49-F238E27FC236}">
              <a16:creationId xmlns:a16="http://schemas.microsoft.com/office/drawing/2014/main" id="{FC3C77F8-5365-B247-AF65-1F100E4923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56</xdr:col>
      <xdr:colOff>0</xdr:colOff>
      <xdr:row>51</xdr:row>
      <xdr:rowOff>0</xdr:rowOff>
    </xdr:from>
    <xdr:to>
      <xdr:col>61</xdr:col>
      <xdr:colOff>0</xdr:colOff>
      <xdr:row>75</xdr:row>
      <xdr:rowOff>12700</xdr:rowOff>
    </xdr:to>
    <xdr:graphicFrame macro="">
      <xdr:nvGraphicFramePr>
        <xdr:cNvPr id="2095143" name="Chart 1">
          <a:extLst>
            <a:ext uri="{FF2B5EF4-FFF2-40B4-BE49-F238E27FC236}">
              <a16:creationId xmlns:a16="http://schemas.microsoft.com/office/drawing/2014/main" id="{4BE83B03-C0DA-7F4B-B695-94EC4347D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56</xdr:col>
      <xdr:colOff>0</xdr:colOff>
      <xdr:row>75</xdr:row>
      <xdr:rowOff>0</xdr:rowOff>
    </xdr:from>
    <xdr:to>
      <xdr:col>61</xdr:col>
      <xdr:colOff>0</xdr:colOff>
      <xdr:row>99</xdr:row>
      <xdr:rowOff>0</xdr:rowOff>
    </xdr:to>
    <xdr:graphicFrame macro="">
      <xdr:nvGraphicFramePr>
        <xdr:cNvPr id="2095144" name="Chart 2">
          <a:extLst>
            <a:ext uri="{FF2B5EF4-FFF2-40B4-BE49-F238E27FC236}">
              <a16:creationId xmlns:a16="http://schemas.microsoft.com/office/drawing/2014/main" id="{6A1EDC33-487E-484C-84A0-2CADF403BF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61</xdr:col>
      <xdr:colOff>0</xdr:colOff>
      <xdr:row>51</xdr:row>
      <xdr:rowOff>0</xdr:rowOff>
    </xdr:from>
    <xdr:to>
      <xdr:col>66</xdr:col>
      <xdr:colOff>0</xdr:colOff>
      <xdr:row>75</xdr:row>
      <xdr:rowOff>12700</xdr:rowOff>
    </xdr:to>
    <xdr:graphicFrame macro="">
      <xdr:nvGraphicFramePr>
        <xdr:cNvPr id="2095145" name="Chart 1">
          <a:extLst>
            <a:ext uri="{FF2B5EF4-FFF2-40B4-BE49-F238E27FC236}">
              <a16:creationId xmlns:a16="http://schemas.microsoft.com/office/drawing/2014/main" id="{89DF1705-ABE4-FD4F-932C-CF9724647E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61</xdr:col>
      <xdr:colOff>0</xdr:colOff>
      <xdr:row>75</xdr:row>
      <xdr:rowOff>0</xdr:rowOff>
    </xdr:from>
    <xdr:to>
      <xdr:col>66</xdr:col>
      <xdr:colOff>0</xdr:colOff>
      <xdr:row>99</xdr:row>
      <xdr:rowOff>0</xdr:rowOff>
    </xdr:to>
    <xdr:graphicFrame macro="">
      <xdr:nvGraphicFramePr>
        <xdr:cNvPr id="2095146" name="Chart 2">
          <a:extLst>
            <a:ext uri="{FF2B5EF4-FFF2-40B4-BE49-F238E27FC236}">
              <a16:creationId xmlns:a16="http://schemas.microsoft.com/office/drawing/2014/main" id="{5137BF05-4023-AC47-BA49-0BFBD0FC3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66</xdr:col>
      <xdr:colOff>0</xdr:colOff>
      <xdr:row>51</xdr:row>
      <xdr:rowOff>0</xdr:rowOff>
    </xdr:from>
    <xdr:to>
      <xdr:col>71</xdr:col>
      <xdr:colOff>0</xdr:colOff>
      <xdr:row>75</xdr:row>
      <xdr:rowOff>12700</xdr:rowOff>
    </xdr:to>
    <xdr:graphicFrame macro="">
      <xdr:nvGraphicFramePr>
        <xdr:cNvPr id="2095147" name="Chart 1">
          <a:extLst>
            <a:ext uri="{FF2B5EF4-FFF2-40B4-BE49-F238E27FC236}">
              <a16:creationId xmlns:a16="http://schemas.microsoft.com/office/drawing/2014/main" id="{32929F90-2DE8-3A44-AA62-72470641CD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66</xdr:col>
      <xdr:colOff>0</xdr:colOff>
      <xdr:row>75</xdr:row>
      <xdr:rowOff>0</xdr:rowOff>
    </xdr:from>
    <xdr:to>
      <xdr:col>71</xdr:col>
      <xdr:colOff>0</xdr:colOff>
      <xdr:row>99</xdr:row>
      <xdr:rowOff>0</xdr:rowOff>
    </xdr:to>
    <xdr:graphicFrame macro="">
      <xdr:nvGraphicFramePr>
        <xdr:cNvPr id="2095148" name="Chart 2">
          <a:extLst>
            <a:ext uri="{FF2B5EF4-FFF2-40B4-BE49-F238E27FC236}">
              <a16:creationId xmlns:a16="http://schemas.microsoft.com/office/drawing/2014/main" id="{6300B4AB-B53D-1843-8814-2DCD0131FD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71</xdr:col>
      <xdr:colOff>0</xdr:colOff>
      <xdr:row>51</xdr:row>
      <xdr:rowOff>0</xdr:rowOff>
    </xdr:from>
    <xdr:to>
      <xdr:col>76</xdr:col>
      <xdr:colOff>0</xdr:colOff>
      <xdr:row>75</xdr:row>
      <xdr:rowOff>12700</xdr:rowOff>
    </xdr:to>
    <xdr:graphicFrame macro="">
      <xdr:nvGraphicFramePr>
        <xdr:cNvPr id="2095149" name="Chart 1">
          <a:extLst>
            <a:ext uri="{FF2B5EF4-FFF2-40B4-BE49-F238E27FC236}">
              <a16:creationId xmlns:a16="http://schemas.microsoft.com/office/drawing/2014/main" id="{88B71788-3B0F-4F46-A604-D065C20550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71</xdr:col>
      <xdr:colOff>0</xdr:colOff>
      <xdr:row>75</xdr:row>
      <xdr:rowOff>0</xdr:rowOff>
    </xdr:from>
    <xdr:to>
      <xdr:col>76</xdr:col>
      <xdr:colOff>0</xdr:colOff>
      <xdr:row>99</xdr:row>
      <xdr:rowOff>0</xdr:rowOff>
    </xdr:to>
    <xdr:graphicFrame macro="">
      <xdr:nvGraphicFramePr>
        <xdr:cNvPr id="2095150" name="Chart 2">
          <a:extLst>
            <a:ext uri="{FF2B5EF4-FFF2-40B4-BE49-F238E27FC236}">
              <a16:creationId xmlns:a16="http://schemas.microsoft.com/office/drawing/2014/main" id="{3D31BA04-B5B9-5645-8920-9430F88464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C160"/>
  <sheetViews>
    <sheetView tabSelected="1" topLeftCell="X35" zoomScaleNormal="100" workbookViewId="0">
      <selection activeCell="BC78" sqref="BC78"/>
    </sheetView>
  </sheetViews>
  <sheetFormatPr baseColWidth="10" defaultColWidth="9.1640625" defaultRowHeight="13" x14ac:dyDescent="0.15"/>
  <cols>
    <col min="1" max="2" width="8.1640625" style="253" customWidth="1"/>
    <col min="3" max="3" width="9.5" style="253" customWidth="1"/>
    <col min="4" max="4" width="10.1640625" style="253" customWidth="1"/>
    <col min="5" max="34" width="8.5" style="253" customWidth="1"/>
    <col min="35" max="35" width="8.6640625" style="253" customWidth="1"/>
    <col min="36" max="36" width="4.83203125" style="253" customWidth="1"/>
    <col min="37" max="38" width="9.1640625" style="253"/>
    <col min="39" max="39" width="11.6640625" style="253" customWidth="1"/>
    <col min="40" max="40" width="9.5" style="253" bestFit="1" customWidth="1"/>
    <col min="41" max="44" width="9.1640625" style="253"/>
    <col min="45" max="45" width="10.83203125" style="253" bestFit="1" customWidth="1"/>
    <col min="46" max="46" width="11.6640625" style="253" bestFit="1" customWidth="1"/>
    <col min="47" max="50" width="9.1640625" style="253"/>
    <col min="51" max="51" width="11.33203125" style="253" customWidth="1"/>
    <col min="52" max="52" width="9.5" style="253" bestFit="1" customWidth="1"/>
    <col min="53" max="66" width="9.1640625" style="253"/>
    <col min="67" max="67" width="9.33203125" style="253" bestFit="1" customWidth="1"/>
    <col min="68" max="69" width="9.1640625" style="253"/>
    <col min="70" max="70" width="10.5" style="253" bestFit="1" customWidth="1"/>
    <col min="71" max="77" width="9.1640625" style="253"/>
    <col min="78" max="78" width="10.6640625" style="253" bestFit="1" customWidth="1"/>
    <col min="79" max="96" width="9.1640625" style="253"/>
    <col min="97" max="97" width="9.1640625" style="462"/>
    <col min="98" max="98" width="9.33203125" style="462" bestFit="1" customWidth="1"/>
    <col min="99" max="99" width="9.1640625" style="462"/>
    <col min="100" max="100" width="11.5" style="462" bestFit="1" customWidth="1"/>
    <col min="101" max="101" width="9.1640625" style="462"/>
    <col min="102" max="102" width="12.33203125" style="462" customWidth="1"/>
    <col min="103" max="103" width="9.1640625" style="462"/>
    <col min="104" max="104" width="11" style="462" bestFit="1" customWidth="1"/>
    <col min="105" max="106" width="9.1640625" style="462"/>
    <col min="107" max="107" width="9.5" style="462" bestFit="1" customWidth="1"/>
    <col min="108" max="108" width="9.83203125" style="462" bestFit="1" customWidth="1"/>
    <col min="109" max="125" width="9.1640625" style="462"/>
    <col min="126" max="133" width="9.5" style="462" customWidth="1"/>
    <col min="134" max="159" width="9.1640625" style="462"/>
    <col min="160" max="16384" width="9.1640625" style="253"/>
  </cols>
  <sheetData>
    <row r="1" spans="1:159" s="290" customFormat="1" ht="15.75" customHeight="1" x14ac:dyDescent="0.2">
      <c r="A1" s="771" t="s">
        <v>490</v>
      </c>
      <c r="B1" s="771"/>
      <c r="C1" s="771"/>
      <c r="D1" s="771"/>
      <c r="E1" s="788" t="s">
        <v>616</v>
      </c>
      <c r="F1" s="789"/>
      <c r="G1" s="790"/>
      <c r="H1" s="771" t="s">
        <v>13</v>
      </c>
      <c r="I1" s="771"/>
      <c r="J1" s="771"/>
      <c r="K1" s="771"/>
      <c r="L1" s="781" t="s">
        <v>15</v>
      </c>
      <c r="M1" s="782"/>
      <c r="N1" s="783"/>
      <c r="O1" s="771" t="s">
        <v>14</v>
      </c>
      <c r="P1" s="771"/>
      <c r="Q1" s="771"/>
      <c r="R1" s="771"/>
      <c r="S1" s="781" t="s">
        <v>738</v>
      </c>
      <c r="T1" s="782"/>
      <c r="U1" s="783"/>
      <c r="V1" s="529"/>
      <c r="W1" s="529"/>
      <c r="X1" s="529"/>
      <c r="Y1" s="529"/>
      <c r="Z1" s="529"/>
      <c r="AA1" s="529"/>
      <c r="AB1" s="529"/>
      <c r="AC1" s="529"/>
      <c r="AD1" s="529"/>
      <c r="AE1" s="529"/>
      <c r="AF1" s="529"/>
      <c r="AG1" s="529"/>
      <c r="AH1" s="529"/>
      <c r="CS1" s="436"/>
      <c r="CT1" s="436"/>
      <c r="CU1" s="436"/>
      <c r="CV1" s="436"/>
      <c r="CW1" s="436"/>
      <c r="CX1" s="436"/>
      <c r="CY1" s="436"/>
      <c r="CZ1" s="436"/>
      <c r="DA1" s="436"/>
      <c r="DB1" s="436"/>
      <c r="DC1" s="436"/>
      <c r="DD1" s="436"/>
      <c r="DE1" s="436"/>
      <c r="DF1" s="436"/>
      <c r="DG1" s="436"/>
      <c r="DH1" s="436"/>
      <c r="DI1" s="436"/>
      <c r="DJ1" s="436"/>
      <c r="DK1" s="436"/>
      <c r="DL1" s="436"/>
      <c r="DM1" s="436"/>
      <c r="DN1" s="436"/>
      <c r="DO1" s="436"/>
      <c r="DP1" s="436"/>
      <c r="DQ1" s="436"/>
      <c r="DR1" s="436"/>
      <c r="DS1" s="436"/>
      <c r="DT1" s="436"/>
      <c r="DU1" s="436"/>
      <c r="DV1" s="436"/>
      <c r="DW1" s="436"/>
      <c r="DX1" s="436"/>
      <c r="DY1" s="436"/>
      <c r="DZ1" s="436"/>
      <c r="EA1" s="436"/>
      <c r="EB1" s="436"/>
      <c r="EC1" s="436"/>
      <c r="ED1" s="436"/>
      <c r="EE1" s="436"/>
      <c r="EF1" s="436"/>
      <c r="EG1" s="436"/>
      <c r="EH1" s="436"/>
      <c r="EI1" s="436"/>
      <c r="EJ1" s="436"/>
      <c r="EK1" s="436"/>
      <c r="EL1" s="436"/>
      <c r="EM1" s="436"/>
      <c r="EN1" s="436"/>
      <c r="EO1" s="436"/>
      <c r="EP1" s="436"/>
      <c r="EQ1" s="436"/>
      <c r="ER1" s="436"/>
      <c r="ES1" s="436"/>
      <c r="ET1" s="436"/>
      <c r="EU1" s="436"/>
      <c r="EV1" s="436"/>
      <c r="EW1" s="436"/>
      <c r="EX1" s="436"/>
      <c r="EY1" s="436"/>
      <c r="EZ1" s="436"/>
      <c r="FA1" s="436"/>
      <c r="FB1" s="436"/>
      <c r="FC1" s="436"/>
    </row>
    <row r="2" spans="1:159" s="290" customFormat="1" ht="12.75" customHeight="1" x14ac:dyDescent="0.2">
      <c r="A2" s="772" t="s">
        <v>737</v>
      </c>
      <c r="B2" s="773"/>
      <c r="C2" s="773"/>
      <c r="D2" s="773"/>
      <c r="E2" s="534"/>
      <c r="F2" s="534"/>
      <c r="G2" s="534"/>
      <c r="H2" s="534"/>
      <c r="I2" s="534"/>
      <c r="J2" s="534"/>
      <c r="K2" s="534"/>
      <c r="L2" s="534"/>
      <c r="M2" s="534"/>
      <c r="N2" s="534"/>
      <c r="O2" s="534"/>
      <c r="P2" s="534"/>
      <c r="Q2" s="534"/>
      <c r="R2" s="534"/>
      <c r="S2" s="534"/>
      <c r="T2" s="533"/>
      <c r="U2" s="533"/>
      <c r="V2" s="533"/>
      <c r="W2" s="533"/>
      <c r="X2" s="533"/>
      <c r="Y2" s="533"/>
      <c r="Z2" s="533"/>
      <c r="AA2" s="533"/>
      <c r="AB2" s="533"/>
      <c r="AC2" s="534"/>
      <c r="AD2" s="534"/>
      <c r="AE2" s="534"/>
      <c r="AF2" s="534"/>
      <c r="AG2" s="534"/>
      <c r="AH2" s="534"/>
      <c r="CS2" s="436"/>
      <c r="CT2" s="436"/>
      <c r="CU2" s="436"/>
      <c r="CV2" s="436"/>
      <c r="CW2" s="436"/>
      <c r="CX2" s="436"/>
      <c r="CY2" s="436"/>
      <c r="CZ2" s="436"/>
      <c r="DA2" s="436"/>
      <c r="DB2" s="436"/>
      <c r="DC2" s="436"/>
      <c r="DD2" s="436"/>
      <c r="DE2" s="436"/>
      <c r="DF2" s="436"/>
      <c r="DG2" s="436"/>
      <c r="DH2" s="436"/>
      <c r="DI2" s="436"/>
      <c r="DJ2" s="436"/>
      <c r="DK2" s="436"/>
      <c r="DL2" s="436"/>
      <c r="DM2" s="436"/>
      <c r="DN2" s="436"/>
      <c r="DO2" s="436"/>
      <c r="DP2" s="436"/>
      <c r="DQ2" s="436"/>
      <c r="DR2" s="436"/>
      <c r="DS2" s="436"/>
      <c r="DT2" s="436"/>
      <c r="DU2" s="436"/>
      <c r="DV2" s="436"/>
      <c r="DW2" s="436"/>
      <c r="DX2" s="436"/>
      <c r="DY2" s="436"/>
      <c r="DZ2" s="436"/>
      <c r="EA2" s="436"/>
      <c r="EB2" s="436"/>
      <c r="EC2" s="436"/>
      <c r="ED2" s="436"/>
      <c r="EE2" s="436"/>
      <c r="EF2" s="436"/>
      <c r="EG2" s="436"/>
      <c r="EH2" s="436"/>
      <c r="EI2" s="436"/>
      <c r="EJ2" s="436"/>
      <c r="EK2" s="436"/>
      <c r="EL2" s="436"/>
      <c r="EM2" s="436"/>
      <c r="EN2" s="436"/>
      <c r="EO2" s="436"/>
      <c r="EP2" s="436"/>
      <c r="EQ2" s="436"/>
      <c r="ER2" s="436"/>
      <c r="ES2" s="436"/>
      <c r="ET2" s="436"/>
      <c r="EU2" s="436"/>
      <c r="EV2" s="436"/>
      <c r="EW2" s="436"/>
      <c r="EX2" s="436"/>
      <c r="EY2" s="436"/>
      <c r="EZ2" s="436"/>
      <c r="FA2" s="436"/>
      <c r="FB2" s="436"/>
      <c r="FC2" s="436"/>
    </row>
    <row r="3" spans="1:159" s="290" customFormat="1" ht="12.75" customHeight="1" x14ac:dyDescent="0.2">
      <c r="A3" s="772" t="s">
        <v>102</v>
      </c>
      <c r="B3" s="773"/>
      <c r="C3" s="773"/>
      <c r="D3" s="773"/>
      <c r="E3" s="478" t="s">
        <v>606</v>
      </c>
      <c r="F3" s="478" t="s">
        <v>606</v>
      </c>
      <c r="G3" s="478" t="s">
        <v>606</v>
      </c>
      <c r="H3" s="478" t="s">
        <v>606</v>
      </c>
      <c r="I3" s="478" t="s">
        <v>606</v>
      </c>
      <c r="J3" s="478" t="s">
        <v>606</v>
      </c>
      <c r="K3" s="478" t="s">
        <v>606</v>
      </c>
      <c r="L3" s="478" t="s">
        <v>606</v>
      </c>
      <c r="M3" s="478">
        <v>689</v>
      </c>
      <c r="N3" s="478">
        <v>689</v>
      </c>
      <c r="O3" s="478">
        <v>689</v>
      </c>
      <c r="P3" s="478">
        <v>689</v>
      </c>
      <c r="Q3" s="478">
        <v>689</v>
      </c>
      <c r="R3" s="478">
        <v>690</v>
      </c>
      <c r="S3" s="478">
        <v>690</v>
      </c>
      <c r="T3" s="254">
        <v>843</v>
      </c>
      <c r="U3" s="254">
        <v>843</v>
      </c>
      <c r="V3" s="254">
        <v>843</v>
      </c>
      <c r="W3" s="254">
        <v>843</v>
      </c>
      <c r="X3" s="254">
        <v>843</v>
      </c>
      <c r="Y3" s="254">
        <v>843</v>
      </c>
      <c r="Z3" s="254">
        <v>843</v>
      </c>
      <c r="AA3" s="254">
        <v>843</v>
      </c>
      <c r="AB3" s="254">
        <v>843</v>
      </c>
      <c r="AC3" s="254" t="s">
        <v>643</v>
      </c>
      <c r="AD3" s="254" t="s">
        <v>643</v>
      </c>
      <c r="AE3" s="254" t="s">
        <v>643</v>
      </c>
      <c r="AF3" s="254" t="s">
        <v>643</v>
      </c>
      <c r="AG3" s="254" t="s">
        <v>643</v>
      </c>
      <c r="AH3" s="254" t="s">
        <v>643</v>
      </c>
      <c r="CS3" s="436"/>
      <c r="CT3" s="436"/>
      <c r="CU3" s="436"/>
      <c r="CV3" s="436"/>
      <c r="CW3" s="436"/>
      <c r="CX3" s="436"/>
      <c r="CY3" s="436"/>
      <c r="CZ3" s="436"/>
      <c r="DA3" s="436"/>
      <c r="DB3" s="436"/>
      <c r="DC3" s="436"/>
      <c r="DD3" s="436"/>
      <c r="DE3" s="436"/>
      <c r="DF3" s="436"/>
      <c r="DG3" s="436"/>
      <c r="DH3" s="436"/>
      <c r="DI3" s="436"/>
      <c r="DJ3" s="436"/>
      <c r="DK3" s="436"/>
      <c r="DL3" s="436"/>
      <c r="DM3" s="436"/>
      <c r="DN3" s="436"/>
      <c r="DO3" s="436"/>
      <c r="DP3" s="436"/>
      <c r="DQ3" s="436"/>
      <c r="DR3" s="436"/>
      <c r="DS3" s="436"/>
      <c r="DT3" s="436"/>
      <c r="DU3" s="436"/>
      <c r="DV3" s="436"/>
      <c r="DW3" s="436"/>
      <c r="DX3" s="436"/>
      <c r="DY3" s="436"/>
      <c r="DZ3" s="436"/>
      <c r="EA3" s="436"/>
      <c r="EB3" s="436"/>
      <c r="EC3" s="436"/>
      <c r="ED3" s="436"/>
      <c r="EE3" s="436"/>
      <c r="EF3" s="436"/>
      <c r="EG3" s="436"/>
      <c r="EH3" s="436"/>
      <c r="EI3" s="436"/>
      <c r="EJ3" s="436"/>
      <c r="EK3" s="436"/>
      <c r="EL3" s="436"/>
      <c r="EM3" s="436"/>
      <c r="EN3" s="436"/>
      <c r="EO3" s="436"/>
      <c r="EP3" s="436"/>
      <c r="EQ3" s="436"/>
      <c r="ER3" s="436"/>
      <c r="ES3" s="436"/>
      <c r="ET3" s="436"/>
      <c r="EU3" s="436"/>
      <c r="EV3" s="436"/>
      <c r="EW3" s="436"/>
      <c r="EX3" s="436"/>
      <c r="EY3" s="436"/>
      <c r="EZ3" s="436"/>
      <c r="FA3" s="436"/>
      <c r="FB3" s="436"/>
      <c r="FC3" s="436"/>
    </row>
    <row r="4" spans="1:159" s="291" customFormat="1" ht="12.75" customHeight="1" x14ac:dyDescent="0.15">
      <c r="A4" s="762" t="s">
        <v>203</v>
      </c>
      <c r="B4" s="763"/>
      <c r="C4" s="763"/>
      <c r="D4" s="763"/>
      <c r="E4" s="478" t="s">
        <v>607</v>
      </c>
      <c r="F4" s="478" t="s">
        <v>608</v>
      </c>
      <c r="G4" s="478" t="s">
        <v>609</v>
      </c>
      <c r="H4" s="478" t="s">
        <v>610</v>
      </c>
      <c r="I4" s="478" t="s">
        <v>611</v>
      </c>
      <c r="J4" s="478" t="s">
        <v>612</v>
      </c>
      <c r="K4" s="478" t="s">
        <v>613</v>
      </c>
      <c r="L4" s="478" t="s">
        <v>614</v>
      </c>
      <c r="M4" s="478" t="s">
        <v>620</v>
      </c>
      <c r="N4" s="478" t="s">
        <v>621</v>
      </c>
      <c r="O4" s="478" t="s">
        <v>622</v>
      </c>
      <c r="P4" s="478" t="s">
        <v>623</v>
      </c>
      <c r="Q4" s="478" t="s">
        <v>624</v>
      </c>
      <c r="R4" s="478" t="s">
        <v>625</v>
      </c>
      <c r="S4" s="478" t="s">
        <v>626</v>
      </c>
      <c r="T4" s="254" t="s">
        <v>628</v>
      </c>
      <c r="U4" s="254" t="s">
        <v>629</v>
      </c>
      <c r="V4" s="254" t="s">
        <v>630</v>
      </c>
      <c r="W4" s="254" t="s">
        <v>631</v>
      </c>
      <c r="X4" s="254" t="s">
        <v>632</v>
      </c>
      <c r="Y4" s="254" t="s">
        <v>633</v>
      </c>
      <c r="Z4" s="254" t="s">
        <v>634</v>
      </c>
      <c r="AA4" s="254" t="s">
        <v>635</v>
      </c>
      <c r="AB4" s="254" t="s">
        <v>636</v>
      </c>
      <c r="AC4" s="254" t="s">
        <v>644</v>
      </c>
      <c r="AD4" s="254" t="s">
        <v>622</v>
      </c>
      <c r="AE4" s="254" t="s">
        <v>623</v>
      </c>
      <c r="AF4" s="254" t="s">
        <v>624</v>
      </c>
      <c r="AG4" s="254" t="s">
        <v>625</v>
      </c>
      <c r="AH4" s="254" t="s">
        <v>626</v>
      </c>
      <c r="AI4" s="513"/>
      <c r="AJ4" s="513"/>
      <c r="BI4" s="513"/>
      <c r="BJ4" s="513"/>
      <c r="BK4" s="513"/>
      <c r="BL4" s="513"/>
      <c r="BM4" s="513"/>
      <c r="BN4" s="513"/>
      <c r="BO4" s="513"/>
      <c r="BP4" s="513"/>
      <c r="BQ4" s="513"/>
      <c r="BR4" s="513"/>
      <c r="BS4" s="513"/>
      <c r="BT4" s="513"/>
      <c r="BU4" s="513"/>
      <c r="BV4" s="513"/>
      <c r="BW4" s="513"/>
      <c r="BX4" s="513"/>
      <c r="BY4" s="513"/>
      <c r="BZ4" s="513"/>
      <c r="CA4" s="513"/>
      <c r="CB4" s="513"/>
      <c r="CC4" s="513"/>
      <c r="CD4" s="513"/>
      <c r="CE4" s="513"/>
      <c r="CF4" s="513"/>
      <c r="CG4" s="513"/>
      <c r="CH4" s="513"/>
      <c r="CI4" s="513"/>
      <c r="CJ4" s="513"/>
      <c r="CK4" s="513"/>
      <c r="CS4" s="437"/>
      <c r="CT4" s="437"/>
      <c r="CU4" s="437"/>
      <c r="CV4" s="437"/>
      <c r="CW4" s="437"/>
      <c r="CX4" s="437"/>
      <c r="CY4" s="437"/>
      <c r="CZ4" s="437"/>
      <c r="DA4" s="437"/>
      <c r="DB4" s="437"/>
      <c r="DC4" s="437"/>
      <c r="DD4" s="437"/>
      <c r="DE4" s="437"/>
      <c r="DF4" s="437"/>
      <c r="DG4" s="437"/>
      <c r="DH4" s="437"/>
      <c r="DI4" s="437"/>
      <c r="DJ4" s="437"/>
      <c r="DK4" s="437"/>
      <c r="DL4" s="437"/>
      <c r="DM4" s="437"/>
      <c r="DN4" s="437"/>
      <c r="DO4" s="437"/>
      <c r="DP4" s="437"/>
      <c r="DQ4" s="437"/>
      <c r="DR4" s="437"/>
      <c r="DS4" s="437"/>
      <c r="DT4" s="437"/>
      <c r="DU4" s="437"/>
      <c r="DV4" s="437"/>
      <c r="DW4" s="437"/>
      <c r="DX4" s="437"/>
      <c r="DY4" s="437"/>
      <c r="DZ4" s="437"/>
      <c r="EA4" s="437"/>
      <c r="EB4" s="437"/>
      <c r="EC4" s="437"/>
      <c r="ED4" s="437"/>
      <c r="EE4" s="437"/>
      <c r="EF4" s="437"/>
      <c r="EG4" s="437"/>
      <c r="EH4" s="437"/>
      <c r="EI4" s="437"/>
      <c r="EJ4" s="437"/>
      <c r="EK4" s="437"/>
      <c r="EL4" s="437"/>
      <c r="EM4" s="437"/>
      <c r="EN4" s="437"/>
      <c r="EO4" s="437"/>
      <c r="EP4" s="437"/>
      <c r="EQ4" s="437"/>
      <c r="ER4" s="437"/>
      <c r="ES4" s="437"/>
      <c r="ET4" s="437"/>
      <c r="EU4" s="437"/>
      <c r="EV4" s="437"/>
      <c r="EW4" s="437"/>
      <c r="EX4" s="437"/>
      <c r="EY4" s="437"/>
      <c r="EZ4" s="437"/>
      <c r="FA4" s="437"/>
      <c r="FB4" s="437"/>
      <c r="FC4" s="437"/>
    </row>
    <row r="5" spans="1:159" s="291" customFormat="1" ht="12.75" customHeight="1" x14ac:dyDescent="0.15">
      <c r="A5" s="762" t="s">
        <v>206</v>
      </c>
      <c r="B5" s="763"/>
      <c r="C5" s="763"/>
      <c r="D5" s="763"/>
      <c r="E5" s="478">
        <v>0.01</v>
      </c>
      <c r="F5" s="478">
        <v>0.01</v>
      </c>
      <c r="G5" s="478">
        <v>0.01</v>
      </c>
      <c r="H5" s="478">
        <v>0.01</v>
      </c>
      <c r="I5" s="478">
        <v>0.01</v>
      </c>
      <c r="J5" s="478">
        <v>0.01</v>
      </c>
      <c r="K5" s="478">
        <v>0.01</v>
      </c>
      <c r="L5" s="478">
        <v>0.01</v>
      </c>
      <c r="M5" s="478">
        <v>0.01</v>
      </c>
      <c r="N5" s="478">
        <v>0.01</v>
      </c>
      <c r="O5" s="478">
        <v>0.01</v>
      </c>
      <c r="P5" s="478">
        <v>0.01</v>
      </c>
      <c r="Q5" s="478">
        <v>0.01</v>
      </c>
      <c r="R5" s="478">
        <v>0.01</v>
      </c>
      <c r="S5" s="478">
        <v>1E-3</v>
      </c>
      <c r="T5" s="254">
        <v>0.01</v>
      </c>
      <c r="U5" s="254">
        <v>0.01</v>
      </c>
      <c r="V5" s="254">
        <v>0.01</v>
      </c>
      <c r="W5" s="254">
        <v>0.01</v>
      </c>
      <c r="X5" s="254">
        <v>0.01</v>
      </c>
      <c r="Y5" s="254">
        <v>0.01</v>
      </c>
      <c r="Z5" s="254">
        <v>0.01</v>
      </c>
      <c r="AA5" s="254">
        <v>0.01</v>
      </c>
      <c r="AB5" s="254">
        <v>0.01</v>
      </c>
      <c r="AC5" s="254">
        <v>0.01</v>
      </c>
      <c r="AD5" s="254">
        <v>0.01</v>
      </c>
      <c r="AE5" s="254">
        <v>0.01</v>
      </c>
      <c r="AF5" s="254">
        <v>0.01</v>
      </c>
      <c r="AG5" s="254">
        <v>0.01</v>
      </c>
      <c r="AH5" s="254">
        <v>0.01</v>
      </c>
      <c r="CS5" s="437"/>
      <c r="CT5" s="437"/>
      <c r="CU5" s="437"/>
      <c r="CV5" s="437"/>
      <c r="CW5" s="437"/>
      <c r="CX5" s="437"/>
      <c r="CY5" s="437"/>
      <c r="CZ5" s="437"/>
      <c r="DA5" s="437"/>
      <c r="DB5" s="437"/>
      <c r="DC5" s="437"/>
      <c r="DD5" s="437"/>
      <c r="DE5" s="437"/>
      <c r="DF5" s="437"/>
      <c r="DG5" s="437"/>
      <c r="DH5" s="437"/>
      <c r="DI5" s="437"/>
      <c r="DJ5" s="437"/>
      <c r="DK5" s="437"/>
      <c r="DL5" s="437"/>
      <c r="DM5" s="437"/>
      <c r="DN5" s="437"/>
      <c r="DO5" s="437"/>
      <c r="DP5" s="437"/>
      <c r="DQ5" s="437"/>
      <c r="DR5" s="437"/>
      <c r="DS5" s="437"/>
      <c r="DT5" s="437"/>
      <c r="DU5" s="437"/>
      <c r="DV5" s="437"/>
      <c r="DW5" s="437"/>
      <c r="DX5" s="437"/>
      <c r="DY5" s="437"/>
      <c r="DZ5" s="437"/>
      <c r="EA5" s="437"/>
      <c r="EB5" s="437"/>
      <c r="EC5" s="437"/>
      <c r="ED5" s="437"/>
      <c r="EE5" s="437"/>
      <c r="EF5" s="437"/>
      <c r="EG5" s="437"/>
      <c r="EH5" s="437"/>
      <c r="EI5" s="437"/>
      <c r="EJ5" s="437"/>
      <c r="EK5" s="437"/>
      <c r="EL5" s="437"/>
      <c r="EM5" s="437"/>
      <c r="EN5" s="437"/>
      <c r="EO5" s="437"/>
      <c r="EP5" s="437"/>
      <c r="EQ5" s="437"/>
      <c r="ER5" s="437"/>
      <c r="ES5" s="437"/>
      <c r="ET5" s="437"/>
      <c r="EU5" s="437"/>
      <c r="EV5" s="437"/>
      <c r="EW5" s="437"/>
      <c r="EX5" s="437"/>
      <c r="EY5" s="437"/>
      <c r="EZ5" s="437"/>
      <c r="FA5" s="437"/>
      <c r="FB5" s="437"/>
      <c r="FC5" s="437"/>
    </row>
    <row r="6" spans="1:159" s="284" customFormat="1" ht="12.75" customHeight="1" x14ac:dyDescent="0.15">
      <c r="A6" s="762" t="s">
        <v>207</v>
      </c>
      <c r="B6" s="763"/>
      <c r="C6" s="763"/>
      <c r="D6" s="763"/>
      <c r="E6" s="478">
        <v>1.03E-2</v>
      </c>
      <c r="F6" s="478">
        <v>8.9999999999999993E-3</v>
      </c>
      <c r="G6" s="478">
        <v>8.3999999999999995E-3</v>
      </c>
      <c r="H6" s="478">
        <v>9.5999999999999992E-3</v>
      </c>
      <c r="I6" s="478">
        <v>1.2800000000000001E-2</v>
      </c>
      <c r="J6" s="478">
        <v>1.0200000000000001E-2</v>
      </c>
      <c r="K6" s="478">
        <v>7.7000000000000002E-3</v>
      </c>
      <c r="L6" s="478">
        <v>8.6E-3</v>
      </c>
      <c r="M6" s="478">
        <v>1.32E-2</v>
      </c>
      <c r="N6" s="478">
        <v>9.5999999999999992E-3</v>
      </c>
      <c r="O6" s="478">
        <v>8.0000000000000002E-3</v>
      </c>
      <c r="P6" s="478">
        <v>1.17E-2</v>
      </c>
      <c r="Q6" s="478">
        <v>5.3E-3</v>
      </c>
      <c r="R6" s="478">
        <v>7.9000000000000008E-3</v>
      </c>
      <c r="S6" s="478">
        <v>9.4999999999999998E-3</v>
      </c>
      <c r="T6" s="254">
        <v>5.3E-3</v>
      </c>
      <c r="U6" s="254">
        <v>5.4999999999999997E-3</v>
      </c>
      <c r="V6" s="254">
        <v>7.9000000000000008E-3</v>
      </c>
      <c r="W6" s="254">
        <v>7.1999999999999998E-3</v>
      </c>
      <c r="X6" s="254">
        <v>7.1000000000000004E-3</v>
      </c>
      <c r="Y6" s="254">
        <v>1.04E-2</v>
      </c>
      <c r="Z6" s="254">
        <v>5.0000000000000001E-3</v>
      </c>
      <c r="AA6" s="254">
        <v>4.1000000000000003E-3</v>
      </c>
      <c r="AB6" s="254">
        <v>8.3999999999999995E-3</v>
      </c>
      <c r="AC6" s="254">
        <v>1.2999999999999999E-2</v>
      </c>
      <c r="AD6" s="254">
        <v>1.37E-2</v>
      </c>
      <c r="AE6" s="254">
        <v>1.37E-2</v>
      </c>
      <c r="AF6" s="254">
        <v>1.35E-2</v>
      </c>
      <c r="AG6" s="254">
        <v>8.9999999999999993E-3</v>
      </c>
      <c r="AH6" s="254">
        <v>1.5599999999999999E-2</v>
      </c>
      <c r="CS6" s="438"/>
      <c r="CT6" s="438"/>
      <c r="CU6" s="438"/>
      <c r="CV6" s="438"/>
      <c r="CW6" s="438"/>
      <c r="CX6" s="438"/>
      <c r="CY6" s="438"/>
      <c r="CZ6" s="438"/>
      <c r="DA6" s="438"/>
      <c r="DB6" s="438"/>
      <c r="DC6" s="438"/>
      <c r="DD6" s="438"/>
      <c r="DE6" s="438"/>
      <c r="DF6" s="438"/>
      <c r="DG6" s="438"/>
      <c r="DH6" s="438"/>
      <c r="DI6" s="438"/>
      <c r="DJ6" s="438"/>
      <c r="DK6" s="438"/>
      <c r="DL6" s="438"/>
      <c r="DM6" s="438"/>
      <c r="DN6" s="438"/>
      <c r="DO6" s="438"/>
      <c r="DP6" s="438"/>
      <c r="DQ6" s="438"/>
      <c r="DR6" s="438"/>
      <c r="DS6" s="438"/>
      <c r="DT6" s="438"/>
      <c r="DU6" s="438"/>
      <c r="DV6" s="438"/>
      <c r="DW6" s="438"/>
      <c r="DX6" s="438"/>
      <c r="DY6" s="438"/>
      <c r="DZ6" s="438"/>
      <c r="EA6" s="438"/>
      <c r="EB6" s="438"/>
      <c r="EC6" s="438"/>
      <c r="ED6" s="438"/>
      <c r="EE6" s="438"/>
      <c r="EF6" s="438"/>
      <c r="EG6" s="438"/>
      <c r="EH6" s="438"/>
      <c r="EI6" s="438"/>
      <c r="EJ6" s="438"/>
      <c r="EK6" s="438"/>
      <c r="EL6" s="438"/>
      <c r="EM6" s="438"/>
      <c r="EN6" s="438"/>
      <c r="EO6" s="438"/>
      <c r="EP6" s="438"/>
      <c r="EQ6" s="438"/>
      <c r="ER6" s="438"/>
      <c r="ES6" s="438"/>
      <c r="ET6" s="438"/>
      <c r="EU6" s="438"/>
      <c r="EV6" s="438"/>
      <c r="EW6" s="438"/>
      <c r="EX6" s="438"/>
      <c r="EY6" s="438"/>
      <c r="EZ6" s="438"/>
      <c r="FA6" s="438"/>
      <c r="FB6" s="438"/>
      <c r="FC6" s="438"/>
    </row>
    <row r="7" spans="1:159" s="284" customFormat="1" ht="12.75" customHeight="1" x14ac:dyDescent="0.15">
      <c r="A7" s="792" t="s">
        <v>104</v>
      </c>
      <c r="B7" s="793"/>
      <c r="C7" s="793"/>
      <c r="D7" s="793"/>
      <c r="E7" s="478">
        <v>535</v>
      </c>
      <c r="F7" s="478">
        <v>535</v>
      </c>
      <c r="G7" s="478">
        <v>535</v>
      </c>
      <c r="H7" s="478">
        <v>535</v>
      </c>
      <c r="I7" s="478">
        <v>535</v>
      </c>
      <c r="J7" s="478">
        <v>535</v>
      </c>
      <c r="K7" s="478">
        <v>535</v>
      </c>
      <c r="L7" s="478">
        <v>535</v>
      </c>
      <c r="M7" s="478">
        <v>535</v>
      </c>
      <c r="N7" s="478">
        <v>535</v>
      </c>
      <c r="O7" s="478">
        <v>535</v>
      </c>
      <c r="P7" s="478">
        <v>535</v>
      </c>
      <c r="Q7" s="478">
        <v>535</v>
      </c>
      <c r="R7" s="478">
        <v>535</v>
      </c>
      <c r="S7" s="478">
        <v>535</v>
      </c>
      <c r="T7" s="254">
        <v>2535</v>
      </c>
      <c r="U7" s="254">
        <v>2535</v>
      </c>
      <c r="V7" s="254">
        <v>2535</v>
      </c>
      <c r="W7" s="254">
        <v>2535</v>
      </c>
      <c r="X7" s="254">
        <v>2535</v>
      </c>
      <c r="Y7" s="254">
        <v>2535</v>
      </c>
      <c r="Z7" s="254">
        <v>2535</v>
      </c>
      <c r="AA7" s="254">
        <v>2535</v>
      </c>
      <c r="AB7" s="254">
        <v>2535</v>
      </c>
      <c r="AC7" s="254">
        <v>535</v>
      </c>
      <c r="AD7" s="254">
        <v>535</v>
      </c>
      <c r="AE7" s="254">
        <v>535</v>
      </c>
      <c r="AF7" s="254">
        <v>535</v>
      </c>
      <c r="AG7" s="254">
        <v>535</v>
      </c>
      <c r="AH7" s="254">
        <v>535</v>
      </c>
      <c r="CS7" s="438"/>
      <c r="CT7" s="438"/>
      <c r="CU7" s="438"/>
      <c r="CV7" s="438"/>
      <c r="CW7" s="438"/>
      <c r="CX7" s="438"/>
      <c r="CY7" s="438"/>
      <c r="CZ7" s="438"/>
      <c r="DA7" s="438"/>
      <c r="DB7" s="438"/>
      <c r="DC7" s="438"/>
      <c r="DD7" s="438"/>
      <c r="DE7" s="438"/>
      <c r="DF7" s="438"/>
      <c r="DG7" s="438"/>
      <c r="DH7" s="438"/>
      <c r="DI7" s="438"/>
      <c r="DJ7" s="438"/>
      <c r="DK7" s="438"/>
      <c r="DL7" s="438"/>
      <c r="DM7" s="438"/>
      <c r="DN7" s="438"/>
      <c r="DO7" s="438"/>
      <c r="DP7" s="438"/>
      <c r="DQ7" s="438"/>
      <c r="DR7" s="438"/>
      <c r="DS7" s="438"/>
      <c r="DT7" s="438"/>
      <c r="DU7" s="438"/>
      <c r="DV7" s="438"/>
      <c r="DW7" s="438"/>
      <c r="DX7" s="438"/>
      <c r="DY7" s="438"/>
      <c r="DZ7" s="438"/>
      <c r="EA7" s="438"/>
      <c r="EB7" s="438"/>
      <c r="EC7" s="438"/>
      <c r="ED7" s="438"/>
      <c r="EE7" s="438"/>
      <c r="EF7" s="438"/>
      <c r="EG7" s="438"/>
      <c r="EH7" s="438"/>
      <c r="EI7" s="438"/>
      <c r="EJ7" s="438"/>
      <c r="EK7" s="438"/>
      <c r="EL7" s="438"/>
      <c r="EM7" s="438"/>
      <c r="EN7" s="438"/>
      <c r="EO7" s="438"/>
      <c r="EP7" s="438"/>
      <c r="EQ7" s="438"/>
      <c r="ER7" s="438"/>
      <c r="ES7" s="438"/>
      <c r="ET7" s="438"/>
      <c r="EU7" s="438"/>
      <c r="EV7" s="438"/>
      <c r="EW7" s="438"/>
      <c r="EX7" s="438"/>
      <c r="EY7" s="438"/>
      <c r="EZ7" s="438"/>
      <c r="FA7" s="438"/>
      <c r="FB7" s="438"/>
      <c r="FC7" s="438"/>
    </row>
    <row r="8" spans="1:159" s="284" customFormat="1" ht="12.75" customHeight="1" x14ac:dyDescent="0.15">
      <c r="A8" s="792" t="s">
        <v>739</v>
      </c>
      <c r="B8" s="793"/>
      <c r="C8" s="793"/>
      <c r="D8" s="793"/>
      <c r="E8" s="478">
        <v>2</v>
      </c>
      <c r="F8" s="478">
        <v>2</v>
      </c>
      <c r="G8" s="478">
        <v>2</v>
      </c>
      <c r="H8" s="478">
        <v>2</v>
      </c>
      <c r="I8" s="478">
        <v>2</v>
      </c>
      <c r="J8" s="478">
        <v>2</v>
      </c>
      <c r="K8" s="478">
        <v>2</v>
      </c>
      <c r="L8" s="478">
        <v>2</v>
      </c>
      <c r="M8" s="478">
        <v>1</v>
      </c>
      <c r="N8" s="478">
        <v>1</v>
      </c>
      <c r="O8" s="478">
        <v>1</v>
      </c>
      <c r="P8" s="478">
        <v>1</v>
      </c>
      <c r="Q8" s="478">
        <v>1</v>
      </c>
      <c r="R8" s="478">
        <v>1</v>
      </c>
      <c r="S8" s="478">
        <v>1</v>
      </c>
      <c r="T8" s="254">
        <v>3</v>
      </c>
      <c r="U8" s="254">
        <v>3</v>
      </c>
      <c r="V8" s="254">
        <v>3</v>
      </c>
      <c r="W8" s="254">
        <v>3</v>
      </c>
      <c r="X8" s="254">
        <v>3</v>
      </c>
      <c r="Y8" s="254">
        <v>3</v>
      </c>
      <c r="Z8" s="254">
        <v>3</v>
      </c>
      <c r="AA8" s="254">
        <v>3</v>
      </c>
      <c r="AB8" s="254">
        <v>3</v>
      </c>
      <c r="AC8" s="254">
        <v>2</v>
      </c>
      <c r="AD8" s="254">
        <v>2</v>
      </c>
      <c r="AE8" s="254">
        <v>2</v>
      </c>
      <c r="AF8" s="254">
        <v>2</v>
      </c>
      <c r="AG8" s="254">
        <v>2</v>
      </c>
      <c r="AH8" s="254">
        <v>2</v>
      </c>
      <c r="CS8" s="438"/>
      <c r="CT8" s="438"/>
      <c r="CU8" s="438"/>
      <c r="CV8" s="438"/>
      <c r="CW8" s="438"/>
      <c r="CX8" s="438"/>
      <c r="CY8" s="438"/>
      <c r="CZ8" s="438"/>
      <c r="DA8" s="438"/>
      <c r="DB8" s="438"/>
      <c r="DC8" s="438"/>
      <c r="DD8" s="438"/>
      <c r="DE8" s="438"/>
      <c r="DF8" s="438"/>
      <c r="DG8" s="438"/>
      <c r="DH8" s="438"/>
      <c r="DI8" s="438"/>
      <c r="DJ8" s="438"/>
      <c r="DK8" s="438"/>
      <c r="DL8" s="438"/>
      <c r="DM8" s="438"/>
      <c r="DN8" s="438"/>
      <c r="DO8" s="438"/>
      <c r="DP8" s="438"/>
      <c r="DQ8" s="438"/>
      <c r="DR8" s="438"/>
      <c r="DS8" s="438"/>
      <c r="DT8" s="438"/>
      <c r="DU8" s="438"/>
      <c r="DV8" s="438"/>
      <c r="DW8" s="438"/>
      <c r="DX8" s="438"/>
      <c r="DY8" s="438"/>
      <c r="DZ8" s="438"/>
      <c r="EA8" s="438"/>
      <c r="EB8" s="438"/>
      <c r="EC8" s="438"/>
      <c r="ED8" s="438"/>
      <c r="EE8" s="438"/>
      <c r="EF8" s="438"/>
      <c r="EG8" s="438"/>
      <c r="EH8" s="438"/>
      <c r="EI8" s="438"/>
      <c r="EJ8" s="438"/>
      <c r="EK8" s="438"/>
      <c r="EL8" s="438"/>
      <c r="EM8" s="438"/>
      <c r="EN8" s="438"/>
      <c r="EO8" s="438"/>
      <c r="EP8" s="438"/>
      <c r="EQ8" s="438"/>
      <c r="ER8" s="438"/>
      <c r="ES8" s="438"/>
      <c r="ET8" s="438"/>
      <c r="EU8" s="438"/>
      <c r="EV8" s="438"/>
      <c r="EW8" s="438"/>
      <c r="EX8" s="438"/>
      <c r="EY8" s="438"/>
      <c r="EZ8" s="438"/>
      <c r="FA8" s="438"/>
      <c r="FB8" s="438"/>
      <c r="FC8" s="438"/>
    </row>
    <row r="9" spans="1:159" s="284" customFormat="1" ht="12.75" customHeight="1" x14ac:dyDescent="0.15">
      <c r="A9" s="762" t="s">
        <v>164</v>
      </c>
      <c r="B9" s="763"/>
      <c r="C9" s="763"/>
      <c r="D9" s="763"/>
      <c r="E9" s="532" t="s">
        <v>133</v>
      </c>
      <c r="F9" s="532" t="s">
        <v>133</v>
      </c>
      <c r="G9" s="532" t="s">
        <v>133</v>
      </c>
      <c r="H9" s="532" t="s">
        <v>133</v>
      </c>
      <c r="I9" s="532" t="s">
        <v>133</v>
      </c>
      <c r="J9" s="532" t="s">
        <v>133</v>
      </c>
      <c r="K9" s="532" t="s">
        <v>133</v>
      </c>
      <c r="L9" s="532" t="s">
        <v>133</v>
      </c>
      <c r="M9" s="532" t="s">
        <v>133</v>
      </c>
      <c r="N9" s="532" t="s">
        <v>133</v>
      </c>
      <c r="O9" s="532" t="s">
        <v>133</v>
      </c>
      <c r="P9" s="532" t="s">
        <v>133</v>
      </c>
      <c r="Q9" s="532" t="s">
        <v>133</v>
      </c>
      <c r="R9" s="532" t="s">
        <v>133</v>
      </c>
      <c r="S9" s="532" t="s">
        <v>133</v>
      </c>
      <c r="T9" s="695" t="s">
        <v>133</v>
      </c>
      <c r="U9" s="695" t="s">
        <v>133</v>
      </c>
      <c r="V9" s="695" t="s">
        <v>133</v>
      </c>
      <c r="W9" s="695" t="s">
        <v>133</v>
      </c>
      <c r="X9" s="695" t="s">
        <v>133</v>
      </c>
      <c r="Y9" s="695" t="s">
        <v>133</v>
      </c>
      <c r="Z9" s="695" t="s">
        <v>133</v>
      </c>
      <c r="AA9" s="695" t="s">
        <v>133</v>
      </c>
      <c r="AB9" s="695" t="s">
        <v>133</v>
      </c>
      <c r="AC9" s="695" t="s">
        <v>645</v>
      </c>
      <c r="AD9" s="695" t="s">
        <v>645</v>
      </c>
      <c r="AE9" s="695" t="s">
        <v>645</v>
      </c>
      <c r="AF9" s="695" t="s">
        <v>645</v>
      </c>
      <c r="AG9" s="695" t="s">
        <v>645</v>
      </c>
      <c r="AH9" s="695" t="s">
        <v>645</v>
      </c>
      <c r="CS9" s="438"/>
      <c r="CT9" s="438"/>
      <c r="CU9" s="438"/>
      <c r="CV9" s="438"/>
      <c r="CW9" s="438"/>
      <c r="CX9" s="438"/>
      <c r="CY9" s="438"/>
      <c r="CZ9" s="438"/>
      <c r="DA9" s="438"/>
      <c r="DB9" s="438"/>
      <c r="DC9" s="438"/>
      <c r="DD9" s="438"/>
      <c r="DE9" s="438"/>
      <c r="DF9" s="438"/>
      <c r="DG9" s="438"/>
      <c r="DH9" s="438"/>
      <c r="DI9" s="438"/>
      <c r="DJ9" s="438"/>
      <c r="DK9" s="438"/>
      <c r="DL9" s="438"/>
      <c r="DM9" s="438"/>
      <c r="DN9" s="438"/>
      <c r="DO9" s="438"/>
      <c r="DP9" s="438"/>
      <c r="DQ9" s="438"/>
      <c r="DR9" s="438"/>
      <c r="DS9" s="438"/>
      <c r="DT9" s="438"/>
      <c r="DU9" s="438"/>
      <c r="DV9" s="438"/>
      <c r="DW9" s="438"/>
      <c r="DX9" s="438"/>
      <c r="DY9" s="438"/>
      <c r="DZ9" s="438"/>
      <c r="EA9" s="438"/>
      <c r="EB9" s="438"/>
      <c r="EC9" s="438"/>
      <c r="ED9" s="438"/>
      <c r="EE9" s="438"/>
      <c r="EF9" s="438"/>
      <c r="EG9" s="438"/>
      <c r="EH9" s="438"/>
      <c r="EI9" s="438"/>
      <c r="EJ9" s="438"/>
      <c r="EK9" s="438"/>
      <c r="EL9" s="438"/>
      <c r="EM9" s="438"/>
      <c r="EN9" s="438"/>
      <c r="EO9" s="438"/>
      <c r="EP9" s="438"/>
      <c r="EQ9" s="438"/>
      <c r="ER9" s="438"/>
      <c r="ES9" s="438"/>
      <c r="ET9" s="438"/>
      <c r="EU9" s="438"/>
      <c r="EV9" s="438"/>
      <c r="EW9" s="438"/>
      <c r="EX9" s="438"/>
      <c r="EY9" s="438"/>
      <c r="EZ9" s="438"/>
      <c r="FA9" s="438"/>
      <c r="FB9" s="438"/>
      <c r="FC9" s="438"/>
    </row>
    <row r="10" spans="1:159" s="307" customFormat="1" ht="12" customHeight="1" x14ac:dyDescent="0.15">
      <c r="A10" s="304"/>
      <c r="B10" s="305"/>
      <c r="C10" s="305"/>
      <c r="D10" s="306"/>
      <c r="E10" s="530" t="s">
        <v>547</v>
      </c>
      <c r="F10" s="531" t="s">
        <v>547</v>
      </c>
      <c r="G10" s="531" t="s">
        <v>547</v>
      </c>
      <c r="H10" s="531" t="s">
        <v>547</v>
      </c>
      <c r="I10" s="531" t="s">
        <v>547</v>
      </c>
      <c r="J10" s="531" t="s">
        <v>547</v>
      </c>
      <c r="K10" s="531" t="s">
        <v>547</v>
      </c>
      <c r="L10" s="531" t="s">
        <v>547</v>
      </c>
      <c r="M10" s="530" t="s">
        <v>547</v>
      </c>
      <c r="N10" s="531" t="s">
        <v>547</v>
      </c>
      <c r="O10" s="531" t="s">
        <v>547</v>
      </c>
      <c r="P10" s="531" t="s">
        <v>547</v>
      </c>
      <c r="Q10" s="531" t="s">
        <v>547</v>
      </c>
      <c r="R10" s="531" t="s">
        <v>547</v>
      </c>
      <c r="S10" s="531" t="s">
        <v>547</v>
      </c>
      <c r="T10" s="531" t="s">
        <v>547</v>
      </c>
      <c r="U10" s="531" t="s">
        <v>547</v>
      </c>
      <c r="V10" s="531" t="s">
        <v>547</v>
      </c>
      <c r="W10" s="531" t="s">
        <v>547</v>
      </c>
      <c r="X10" s="531" t="s">
        <v>547</v>
      </c>
      <c r="Y10" s="531" t="s">
        <v>547</v>
      </c>
      <c r="Z10" s="531" t="s">
        <v>547</v>
      </c>
      <c r="AA10" s="531" t="s">
        <v>547</v>
      </c>
      <c r="AB10" s="531" t="s">
        <v>547</v>
      </c>
      <c r="AC10" s="530" t="s">
        <v>646</v>
      </c>
      <c r="AD10" s="531" t="s">
        <v>646</v>
      </c>
      <c r="AE10" s="531" t="s">
        <v>646</v>
      </c>
      <c r="AF10" s="531" t="s">
        <v>646</v>
      </c>
      <c r="AG10" s="531" t="s">
        <v>646</v>
      </c>
      <c r="AH10" s="531" t="s">
        <v>646</v>
      </c>
      <c r="CS10" s="439"/>
      <c r="CT10" s="439"/>
      <c r="CU10" s="439"/>
      <c r="CV10" s="439"/>
      <c r="CW10" s="439"/>
      <c r="CX10" s="439"/>
      <c r="CY10" s="439"/>
      <c r="CZ10" s="439"/>
      <c r="DA10" s="439"/>
      <c r="DB10" s="439"/>
      <c r="DC10" s="439"/>
      <c r="DD10" s="439"/>
      <c r="DE10" s="439"/>
      <c r="DF10" s="439"/>
      <c r="DG10" s="439"/>
      <c r="DH10" s="439"/>
      <c r="DI10" s="439"/>
      <c r="DJ10" s="439"/>
      <c r="DK10" s="439"/>
      <c r="DL10" s="439"/>
      <c r="DM10" s="439"/>
      <c r="DN10" s="439"/>
      <c r="DO10" s="439"/>
      <c r="DP10" s="439"/>
      <c r="DQ10" s="439"/>
      <c r="DR10" s="439"/>
      <c r="DS10" s="439"/>
      <c r="DT10" s="439"/>
      <c r="DU10" s="439"/>
      <c r="DV10" s="439"/>
      <c r="DW10" s="439"/>
      <c r="DX10" s="439"/>
      <c r="DY10" s="439"/>
      <c r="DZ10" s="439"/>
      <c r="EA10" s="439"/>
      <c r="EB10" s="439"/>
      <c r="EC10" s="439"/>
      <c r="ED10" s="439"/>
      <c r="EE10" s="439"/>
      <c r="EF10" s="439"/>
      <c r="EG10" s="439"/>
      <c r="EH10" s="439"/>
      <c r="EI10" s="439"/>
      <c r="EJ10" s="439"/>
      <c r="EK10" s="439"/>
      <c r="EL10" s="439"/>
      <c r="EM10" s="439"/>
      <c r="EN10" s="439"/>
      <c r="EO10" s="439"/>
      <c r="EP10" s="439"/>
      <c r="EQ10" s="439"/>
      <c r="ER10" s="439"/>
      <c r="ES10" s="439"/>
      <c r="ET10" s="439"/>
      <c r="EU10" s="439"/>
      <c r="EV10" s="439"/>
      <c r="EW10" s="439"/>
      <c r="EX10" s="439"/>
      <c r="EY10" s="439"/>
      <c r="EZ10" s="439"/>
      <c r="FA10" s="439"/>
      <c r="FB10" s="439"/>
      <c r="FC10" s="439"/>
    </row>
    <row r="11" spans="1:159" s="284" customFormat="1" ht="9.75" customHeight="1" x14ac:dyDescent="0.15">
      <c r="A11" s="774" t="s">
        <v>141</v>
      </c>
      <c r="B11" s="775"/>
      <c r="C11" s="294" t="s">
        <v>204</v>
      </c>
      <c r="D11" s="295"/>
      <c r="E11" s="522">
        <v>58.785899999999998</v>
      </c>
      <c r="F11" s="522">
        <v>21.628855999999999</v>
      </c>
      <c r="G11" s="506">
        <v>22.963166999999999</v>
      </c>
      <c r="H11" s="609">
        <v>20.661757000000001</v>
      </c>
      <c r="I11" s="609">
        <v>22.199787000000001</v>
      </c>
      <c r="J11" s="506">
        <v>21.816037999999999</v>
      </c>
      <c r="K11" s="506">
        <v>25.024495000000002</v>
      </c>
      <c r="L11" s="506">
        <v>23.946144</v>
      </c>
      <c r="M11" s="522">
        <v>2132.8755000000001</v>
      </c>
      <c r="N11" s="522">
        <v>1452.5845999999999</v>
      </c>
      <c r="O11" s="506">
        <v>1420.3001999999999</v>
      </c>
      <c r="P11" s="609">
        <v>1790.4743000000001</v>
      </c>
      <c r="Q11" s="609">
        <v>715.18124</v>
      </c>
      <c r="R11" s="506">
        <v>1414.5727999999999</v>
      </c>
      <c r="S11" s="506">
        <v>321.30133999999998</v>
      </c>
      <c r="T11" s="506">
        <v>214.79669000000001</v>
      </c>
      <c r="U11" s="506">
        <v>197.86381</v>
      </c>
      <c r="V11" s="506">
        <v>148.41550000000001</v>
      </c>
      <c r="W11" s="506">
        <v>88.550672000000006</v>
      </c>
      <c r="X11" s="506">
        <v>76.383109000000005</v>
      </c>
      <c r="Y11" s="506">
        <v>53.474545999999997</v>
      </c>
      <c r="Z11" s="506">
        <v>217.93495999999999</v>
      </c>
      <c r="AA11" s="506">
        <v>125.10460999999999</v>
      </c>
      <c r="AB11" s="506">
        <v>107.90602</v>
      </c>
      <c r="AC11" s="522">
        <v>41428.874000000003</v>
      </c>
      <c r="AD11" s="522">
        <v>54629.042000000001</v>
      </c>
      <c r="AE11" s="506">
        <v>35863.044000000002</v>
      </c>
      <c r="AF11" s="609">
        <v>30238.606</v>
      </c>
      <c r="AG11" s="609">
        <v>31175.72</v>
      </c>
      <c r="AH11" s="506">
        <v>19921.414000000001</v>
      </c>
      <c r="AK11" s="536"/>
      <c r="AL11" s="536"/>
      <c r="AM11" s="536"/>
      <c r="AN11" s="536"/>
      <c r="AO11" s="536"/>
      <c r="AP11" s="536"/>
      <c r="AQ11" s="536"/>
      <c r="AR11" s="536"/>
      <c r="AS11" s="536"/>
      <c r="AT11" s="536"/>
      <c r="AU11" s="536"/>
      <c r="AV11" s="536"/>
      <c r="AW11" s="536"/>
      <c r="AX11" s="536"/>
      <c r="AY11" s="536"/>
      <c r="AZ11" s="536"/>
      <c r="BA11" s="536"/>
      <c r="BB11" s="536"/>
      <c r="BC11" s="536"/>
      <c r="BD11" s="536"/>
      <c r="BE11" s="536"/>
      <c r="BF11" s="536"/>
      <c r="BG11" s="536"/>
      <c r="BH11" s="536"/>
      <c r="CS11" s="438"/>
      <c r="CT11" s="438"/>
      <c r="CU11" s="438"/>
      <c r="CV11" s="438"/>
      <c r="CW11" s="438"/>
      <c r="CX11" s="438"/>
      <c r="CY11" s="438"/>
      <c r="CZ11" s="438"/>
      <c r="DA11" s="438"/>
      <c r="DB11" s="438"/>
      <c r="DC11" s="438"/>
      <c r="DD11" s="438"/>
      <c r="DE11" s="438"/>
      <c r="DF11" s="438"/>
      <c r="DG11" s="438"/>
      <c r="DH11" s="438"/>
      <c r="DI11" s="438"/>
      <c r="DJ11" s="438"/>
      <c r="DK11" s="438"/>
      <c r="DL11" s="438"/>
      <c r="DM11" s="438"/>
      <c r="DN11" s="438"/>
      <c r="DO11" s="438"/>
      <c r="DP11" s="438"/>
      <c r="DQ11" s="438"/>
      <c r="DR11" s="438"/>
      <c r="DS11" s="438"/>
      <c r="DT11" s="438"/>
      <c r="DU11" s="438"/>
      <c r="DV11" s="438"/>
      <c r="DW11" s="438"/>
      <c r="DX11" s="438"/>
      <c r="DY11" s="438"/>
      <c r="DZ11" s="438"/>
      <c r="EA11" s="438"/>
      <c r="EB11" s="438"/>
      <c r="EC11" s="438"/>
      <c r="ED11" s="438"/>
      <c r="EE11" s="438"/>
      <c r="EF11" s="438"/>
      <c r="EG11" s="438"/>
      <c r="EH11" s="438"/>
      <c r="EI11" s="438"/>
      <c r="EJ11" s="438"/>
      <c r="EK11" s="438"/>
      <c r="EL11" s="438"/>
      <c r="EM11" s="438"/>
      <c r="EN11" s="438"/>
      <c r="EO11" s="438"/>
      <c r="EP11" s="438"/>
      <c r="EQ11" s="438"/>
      <c r="ER11" s="438"/>
      <c r="ES11" s="438"/>
      <c r="ET11" s="438"/>
      <c r="EU11" s="438"/>
      <c r="EV11" s="438"/>
      <c r="EW11" s="438"/>
      <c r="EX11" s="438"/>
      <c r="EY11" s="438"/>
      <c r="EZ11" s="438"/>
      <c r="FA11" s="438"/>
      <c r="FB11" s="438"/>
      <c r="FC11" s="438"/>
    </row>
    <row r="12" spans="1:159" s="291" customFormat="1" ht="9.75" customHeight="1" x14ac:dyDescent="0.15">
      <c r="A12" s="776"/>
      <c r="B12" s="777"/>
      <c r="C12" s="296" t="s">
        <v>205</v>
      </c>
      <c r="D12" s="297"/>
      <c r="E12" s="523">
        <v>6.2578790999999995E-2</v>
      </c>
      <c r="F12" s="610">
        <v>0.21962322000000001</v>
      </c>
      <c r="G12" s="507">
        <v>0.10094019999999999</v>
      </c>
      <c r="H12" s="611">
        <v>5.2241265000000002E-2</v>
      </c>
      <c r="I12" s="611">
        <v>9.3197381999999995E-2</v>
      </c>
      <c r="J12" s="507">
        <v>8.6223093000000001E-2</v>
      </c>
      <c r="K12" s="510">
        <v>0.11489692999999999</v>
      </c>
      <c r="L12" s="507">
        <v>7.0005345999999996E-2</v>
      </c>
      <c r="M12" s="523">
        <v>0.21408530000000001</v>
      </c>
      <c r="N12" s="610">
        <v>0.30210451999999999</v>
      </c>
      <c r="O12" s="507">
        <v>0.25005770999999999</v>
      </c>
      <c r="P12" s="611">
        <v>0.27345301</v>
      </c>
      <c r="Q12" s="611">
        <v>0.19800754000000001</v>
      </c>
      <c r="R12" s="507">
        <v>0.28645841999999999</v>
      </c>
      <c r="S12" s="510">
        <v>0.34834132000000001</v>
      </c>
      <c r="T12" s="507">
        <v>0.36143816000000001</v>
      </c>
      <c r="U12" s="507">
        <v>0.36649707999999998</v>
      </c>
      <c r="V12" s="507">
        <v>0.33637800000000001</v>
      </c>
      <c r="W12" s="507">
        <v>0.23143516</v>
      </c>
      <c r="X12" s="507">
        <v>0.26764095999999998</v>
      </c>
      <c r="Y12" s="507">
        <v>0.20111986000000001</v>
      </c>
      <c r="Z12" s="507">
        <v>0.23754423</v>
      </c>
      <c r="AA12" s="507">
        <v>0.26799465</v>
      </c>
      <c r="AB12" s="507">
        <v>0.24382237000000001</v>
      </c>
      <c r="AC12" s="523">
        <v>0.19420349000000001</v>
      </c>
      <c r="AD12" s="610">
        <v>0.27452373000000002</v>
      </c>
      <c r="AE12" s="507">
        <v>0.24525923999999999</v>
      </c>
      <c r="AF12" s="611">
        <v>0.14659662000000001</v>
      </c>
      <c r="AG12" s="611">
        <v>0.1476721</v>
      </c>
      <c r="AH12" s="507">
        <v>0.14224898999999999</v>
      </c>
      <c r="CS12" s="440"/>
      <c r="CT12" s="440"/>
      <c r="CU12" s="440"/>
      <c r="CV12" s="440"/>
      <c r="CW12" s="440"/>
      <c r="CX12" s="440"/>
      <c r="CY12" s="440"/>
      <c r="CZ12" s="440"/>
      <c r="DA12" s="440"/>
      <c r="DB12" s="440"/>
      <c r="DC12" s="440"/>
      <c r="DD12" s="440"/>
      <c r="DE12" s="440"/>
      <c r="DF12" s="440"/>
      <c r="DG12" s="440"/>
      <c r="DH12" s="440"/>
      <c r="DI12" s="440"/>
      <c r="DJ12" s="440"/>
      <c r="DK12" s="440"/>
      <c r="DL12" s="440"/>
      <c r="DM12" s="440"/>
      <c r="DN12" s="440"/>
      <c r="DO12" s="440"/>
      <c r="DP12" s="440"/>
      <c r="DQ12" s="440"/>
      <c r="DR12" s="440"/>
      <c r="DS12" s="440"/>
      <c r="DT12" s="440"/>
      <c r="DU12" s="440"/>
      <c r="DV12" s="440"/>
      <c r="DW12" s="440"/>
      <c r="DX12" s="440"/>
      <c r="DY12" s="440"/>
      <c r="DZ12" s="440"/>
      <c r="EA12" s="440"/>
      <c r="EB12" s="440"/>
      <c r="EC12" s="440"/>
      <c r="ED12" s="440"/>
      <c r="EE12" s="440"/>
      <c r="EF12" s="440"/>
      <c r="EG12" s="440"/>
      <c r="EH12" s="440"/>
      <c r="EI12" s="440"/>
      <c r="EJ12" s="440"/>
      <c r="EK12" s="440"/>
      <c r="EL12" s="440"/>
      <c r="EM12" s="440"/>
      <c r="EN12" s="440"/>
      <c r="EO12" s="440"/>
      <c r="EP12" s="440"/>
      <c r="EQ12" s="440"/>
      <c r="ER12" s="440"/>
      <c r="ES12" s="440"/>
      <c r="ET12" s="440"/>
      <c r="EU12" s="440"/>
      <c r="EV12" s="440"/>
      <c r="EW12" s="440"/>
      <c r="EX12" s="440"/>
      <c r="EY12" s="440"/>
      <c r="EZ12" s="440"/>
      <c r="FA12" s="440"/>
      <c r="FB12" s="440"/>
      <c r="FC12" s="440"/>
    </row>
    <row r="13" spans="1:159" s="291" customFormat="1" ht="9.75" hidden="1" customHeight="1" x14ac:dyDescent="0.15">
      <c r="A13" s="292"/>
      <c r="B13" s="269"/>
      <c r="C13" s="294"/>
      <c r="D13" s="295"/>
      <c r="E13" s="524"/>
      <c r="F13" s="612"/>
      <c r="G13" s="508"/>
      <c r="H13" s="613"/>
      <c r="I13" s="613"/>
      <c r="J13" s="508"/>
      <c r="K13" s="509"/>
      <c r="L13" s="508"/>
      <c r="M13" s="524"/>
      <c r="N13" s="612"/>
      <c r="O13" s="508"/>
      <c r="P13" s="613"/>
      <c r="Q13" s="613"/>
      <c r="R13" s="508"/>
      <c r="S13" s="509"/>
      <c r="T13" s="508"/>
      <c r="U13" s="508"/>
      <c r="V13" s="508"/>
      <c r="W13" s="508"/>
      <c r="X13" s="508"/>
      <c r="Y13" s="508"/>
      <c r="Z13" s="508"/>
      <c r="AA13" s="508"/>
      <c r="AB13" s="508"/>
      <c r="AC13" s="524"/>
      <c r="AD13" s="612"/>
      <c r="AE13" s="508"/>
      <c r="AF13" s="613"/>
      <c r="AG13" s="613"/>
      <c r="AH13" s="508"/>
      <c r="CS13" s="440"/>
      <c r="CT13" s="440"/>
      <c r="CU13" s="440"/>
      <c r="CV13" s="440"/>
      <c r="CW13" s="440"/>
      <c r="CX13" s="440"/>
      <c r="CY13" s="440"/>
      <c r="CZ13" s="440"/>
      <c r="DA13" s="440"/>
      <c r="DB13" s="440"/>
      <c r="DC13" s="440"/>
      <c r="DD13" s="440"/>
      <c r="DE13" s="440"/>
      <c r="DF13" s="440"/>
      <c r="DG13" s="440"/>
      <c r="DH13" s="440"/>
      <c r="DI13" s="440"/>
      <c r="DJ13" s="440"/>
      <c r="DK13" s="440"/>
      <c r="DL13" s="440"/>
      <c r="DM13" s="440"/>
      <c r="DN13" s="440"/>
      <c r="DO13" s="440"/>
      <c r="DP13" s="440"/>
      <c r="DQ13" s="440"/>
      <c r="DR13" s="440"/>
      <c r="DS13" s="440"/>
      <c r="DT13" s="440"/>
      <c r="DU13" s="440"/>
      <c r="DV13" s="440"/>
      <c r="DW13" s="440"/>
      <c r="DX13" s="440"/>
      <c r="DY13" s="440"/>
      <c r="DZ13" s="440"/>
      <c r="EA13" s="440"/>
      <c r="EB13" s="440"/>
      <c r="EC13" s="440"/>
      <c r="ED13" s="440"/>
      <c r="EE13" s="440"/>
      <c r="EF13" s="440"/>
      <c r="EG13" s="440"/>
      <c r="EH13" s="440"/>
      <c r="EI13" s="440"/>
      <c r="EJ13" s="440"/>
      <c r="EK13" s="440"/>
      <c r="EL13" s="440"/>
      <c r="EM13" s="440"/>
      <c r="EN13" s="440"/>
      <c r="EO13" s="440"/>
      <c r="EP13" s="440"/>
      <c r="EQ13" s="440"/>
      <c r="ER13" s="440"/>
      <c r="ES13" s="440"/>
      <c r="ET13" s="440"/>
      <c r="EU13" s="440"/>
      <c r="EV13" s="440"/>
      <c r="EW13" s="440"/>
      <c r="EX13" s="440"/>
      <c r="EY13" s="440"/>
      <c r="EZ13" s="440"/>
      <c r="FA13" s="440"/>
      <c r="FB13" s="440"/>
      <c r="FC13" s="440"/>
    </row>
    <row r="14" spans="1:159" s="291" customFormat="1" ht="9.75" hidden="1" customHeight="1" x14ac:dyDescent="0.15">
      <c r="A14" s="292"/>
      <c r="B14" s="269"/>
      <c r="C14" s="294"/>
      <c r="D14" s="295"/>
      <c r="E14" s="524" t="s">
        <v>557</v>
      </c>
      <c r="F14" s="612" t="s">
        <v>557</v>
      </c>
      <c r="G14" s="508" t="s">
        <v>557</v>
      </c>
      <c r="H14" s="613" t="s">
        <v>557</v>
      </c>
      <c r="I14" s="613" t="s">
        <v>557</v>
      </c>
      <c r="J14" s="508" t="s">
        <v>557</v>
      </c>
      <c r="K14" s="509" t="s">
        <v>557</v>
      </c>
      <c r="L14" s="508" t="s">
        <v>557</v>
      </c>
      <c r="M14" s="524" t="s">
        <v>557</v>
      </c>
      <c r="N14" s="612" t="s">
        <v>557</v>
      </c>
      <c r="O14" s="508" t="s">
        <v>557</v>
      </c>
      <c r="P14" s="613" t="s">
        <v>557</v>
      </c>
      <c r="Q14" s="613" t="s">
        <v>557</v>
      </c>
      <c r="R14" s="508" t="s">
        <v>557</v>
      </c>
      <c r="S14" s="509" t="s">
        <v>557</v>
      </c>
      <c r="T14" s="508" t="s">
        <v>557</v>
      </c>
      <c r="U14" s="508" t="s">
        <v>557</v>
      </c>
      <c r="V14" s="508" t="s">
        <v>557</v>
      </c>
      <c r="W14" s="508" t="s">
        <v>557</v>
      </c>
      <c r="X14" s="508" t="s">
        <v>557</v>
      </c>
      <c r="Y14" s="508" t="s">
        <v>557</v>
      </c>
      <c r="Z14" s="508" t="s">
        <v>557</v>
      </c>
      <c r="AA14" s="508" t="s">
        <v>557</v>
      </c>
      <c r="AB14" s="508" t="s">
        <v>557</v>
      </c>
      <c r="AC14" s="524" t="s">
        <v>647</v>
      </c>
      <c r="AD14" s="612" t="s">
        <v>647</v>
      </c>
      <c r="AE14" s="508" t="s">
        <v>647</v>
      </c>
      <c r="AF14" s="613" t="s">
        <v>647</v>
      </c>
      <c r="AG14" s="613" t="s">
        <v>647</v>
      </c>
      <c r="AH14" s="508" t="s">
        <v>647</v>
      </c>
      <c r="CS14" s="440"/>
      <c r="CT14" s="440"/>
      <c r="CU14" s="440"/>
      <c r="CV14" s="440"/>
      <c r="CW14" s="440"/>
      <c r="CX14" s="440"/>
      <c r="CY14" s="440"/>
      <c r="CZ14" s="440"/>
      <c r="DA14" s="440"/>
      <c r="DB14" s="440"/>
      <c r="DC14" s="440"/>
      <c r="DD14" s="440"/>
      <c r="DE14" s="440"/>
      <c r="DF14" s="440"/>
      <c r="DG14" s="440"/>
      <c r="DH14" s="440"/>
      <c r="DI14" s="440"/>
      <c r="DJ14" s="440"/>
      <c r="DK14" s="440"/>
      <c r="DL14" s="440"/>
      <c r="DM14" s="440"/>
      <c r="DN14" s="440"/>
      <c r="DO14" s="440"/>
      <c r="DP14" s="440"/>
      <c r="DQ14" s="440"/>
      <c r="DR14" s="440"/>
      <c r="DS14" s="440"/>
      <c r="DT14" s="440"/>
      <c r="DU14" s="440"/>
      <c r="DV14" s="440"/>
      <c r="DW14" s="440"/>
      <c r="DX14" s="440"/>
      <c r="DY14" s="440"/>
      <c r="DZ14" s="440"/>
      <c r="EA14" s="440"/>
      <c r="EB14" s="440"/>
      <c r="EC14" s="440"/>
      <c r="ED14" s="440"/>
      <c r="EE14" s="440"/>
      <c r="EF14" s="440"/>
      <c r="EG14" s="440"/>
      <c r="EH14" s="440"/>
      <c r="EI14" s="440"/>
      <c r="EJ14" s="440"/>
      <c r="EK14" s="440"/>
      <c r="EL14" s="440"/>
      <c r="EM14" s="440"/>
      <c r="EN14" s="440"/>
      <c r="EO14" s="440"/>
      <c r="EP14" s="440"/>
      <c r="EQ14" s="440"/>
      <c r="ER14" s="440"/>
      <c r="ES14" s="440"/>
      <c r="ET14" s="440"/>
      <c r="EU14" s="440"/>
      <c r="EV14" s="440"/>
      <c r="EW14" s="440"/>
      <c r="EX14" s="440"/>
      <c r="EY14" s="440"/>
      <c r="EZ14" s="440"/>
      <c r="FA14" s="440"/>
      <c r="FB14" s="440"/>
      <c r="FC14" s="440"/>
    </row>
    <row r="15" spans="1:159" s="291" customFormat="1" ht="9.75" customHeight="1" x14ac:dyDescent="0.15">
      <c r="A15" s="774" t="s">
        <v>142</v>
      </c>
      <c r="B15" s="775"/>
      <c r="C15" s="294" t="s">
        <v>204</v>
      </c>
      <c r="D15" s="295"/>
      <c r="E15" s="524">
        <v>3.3908518999999999</v>
      </c>
      <c r="F15" s="524">
        <v>1.4041790999999999</v>
      </c>
      <c r="G15" s="509">
        <v>1.4701663</v>
      </c>
      <c r="H15" s="614">
        <v>1.3237361000000001</v>
      </c>
      <c r="I15" s="615">
        <v>1.4236979999999999</v>
      </c>
      <c r="J15" s="509">
        <v>1.398442</v>
      </c>
      <c r="K15" s="509">
        <v>1.589801</v>
      </c>
      <c r="L15" s="509">
        <v>1.5218088999999999</v>
      </c>
      <c r="M15" s="524">
        <v>19.185352999999999</v>
      </c>
      <c r="N15" s="524">
        <v>18.081928000000001</v>
      </c>
      <c r="O15" s="509">
        <v>17.955387999999999</v>
      </c>
      <c r="P15" s="614">
        <v>18.646287999999998</v>
      </c>
      <c r="Q15" s="615">
        <v>15.437870999999999</v>
      </c>
      <c r="R15" s="509">
        <v>18.102550000000001</v>
      </c>
      <c r="S15" s="509">
        <v>12.457595</v>
      </c>
      <c r="T15" s="509">
        <v>9.4003583000000006</v>
      </c>
      <c r="U15" s="509">
        <v>8.9275803000000007</v>
      </c>
      <c r="V15" s="509">
        <v>7.5291987000000002</v>
      </c>
      <c r="W15" s="509">
        <v>5.1539372999999999</v>
      </c>
      <c r="X15" s="509">
        <v>4.9272523000000001</v>
      </c>
      <c r="Y15" s="509">
        <v>3.7321249999999999</v>
      </c>
      <c r="Z15" s="509">
        <v>9.3724900000000009</v>
      </c>
      <c r="AA15" s="509">
        <v>6.4421210000000002</v>
      </c>
      <c r="AB15" s="509">
        <v>6.1721713999999999</v>
      </c>
      <c r="AC15" s="524">
        <v>5.7937140999999999</v>
      </c>
      <c r="AD15" s="524">
        <v>5.7909196999999999</v>
      </c>
      <c r="AE15" s="509">
        <v>5.7870037999999999</v>
      </c>
      <c r="AF15" s="614">
        <v>5.7832412</v>
      </c>
      <c r="AG15" s="615">
        <v>5.7907596999999997</v>
      </c>
      <c r="AH15" s="509">
        <v>5.7763917999999999</v>
      </c>
      <c r="CS15" s="440"/>
      <c r="CT15" s="440"/>
      <c r="CU15" s="440"/>
      <c r="CV15" s="440"/>
      <c r="CW15" s="440"/>
      <c r="CX15" s="440"/>
      <c r="CY15" s="440"/>
      <c r="CZ15" s="440"/>
      <c r="DA15" s="440"/>
      <c r="DB15" s="440"/>
      <c r="DC15" s="440"/>
      <c r="DD15" s="440"/>
      <c r="DE15" s="440"/>
      <c r="DF15" s="440"/>
      <c r="DG15" s="440"/>
      <c r="DH15" s="440"/>
      <c r="DI15" s="440"/>
      <c r="DJ15" s="440"/>
      <c r="DK15" s="440"/>
      <c r="DL15" s="440"/>
      <c r="DM15" s="440"/>
      <c r="DN15" s="440"/>
      <c r="DO15" s="440"/>
      <c r="DP15" s="440"/>
      <c r="DQ15" s="440"/>
      <c r="DR15" s="440"/>
      <c r="DS15" s="440"/>
      <c r="DT15" s="440"/>
      <c r="DU15" s="440"/>
      <c r="DV15" s="440"/>
      <c r="DW15" s="440"/>
      <c r="DX15" s="440"/>
      <c r="DY15" s="440"/>
      <c r="DZ15" s="440"/>
      <c r="EA15" s="440"/>
      <c r="EB15" s="440"/>
      <c r="EC15" s="440"/>
      <c r="ED15" s="440"/>
      <c r="EE15" s="440"/>
      <c r="EF15" s="440"/>
      <c r="EG15" s="440"/>
      <c r="EH15" s="440"/>
      <c r="EI15" s="440"/>
      <c r="EJ15" s="440"/>
      <c r="EK15" s="440"/>
      <c r="EL15" s="440"/>
      <c r="EM15" s="440"/>
      <c r="EN15" s="440"/>
      <c r="EO15" s="440"/>
      <c r="EP15" s="440"/>
      <c r="EQ15" s="440"/>
      <c r="ER15" s="440"/>
      <c r="ES15" s="440"/>
      <c r="ET15" s="440"/>
      <c r="EU15" s="440"/>
      <c r="EV15" s="440"/>
      <c r="EW15" s="440"/>
      <c r="EX15" s="440"/>
      <c r="EY15" s="440"/>
      <c r="EZ15" s="440"/>
      <c r="FA15" s="440"/>
      <c r="FB15" s="440"/>
      <c r="FC15" s="440"/>
    </row>
    <row r="16" spans="1:159" s="291" customFormat="1" ht="9.75" customHeight="1" x14ac:dyDescent="0.15">
      <c r="A16" s="776"/>
      <c r="B16" s="777"/>
      <c r="C16" s="296" t="s">
        <v>205</v>
      </c>
      <c r="D16" s="297"/>
      <c r="E16" s="523">
        <v>2.0361634999999999E-2</v>
      </c>
      <c r="F16" s="523">
        <v>9.5541802999999995E-2</v>
      </c>
      <c r="G16" s="510">
        <v>3.9403465999999998E-2</v>
      </c>
      <c r="H16" s="616">
        <v>2.4114720999999999E-2</v>
      </c>
      <c r="I16" s="616">
        <v>3.3009266000000002E-2</v>
      </c>
      <c r="J16" s="510">
        <v>3.8671201000000002E-2</v>
      </c>
      <c r="K16" s="510">
        <v>4.5168891000000003E-2</v>
      </c>
      <c r="L16" s="510">
        <v>2.6959130000000001E-2</v>
      </c>
      <c r="M16" s="523">
        <v>2.8920652000000002E-2</v>
      </c>
      <c r="N16" s="523">
        <v>3.3602544999999998E-2</v>
      </c>
      <c r="O16" s="510">
        <v>2.5989873E-2</v>
      </c>
      <c r="P16" s="616">
        <v>3.3148534E-2</v>
      </c>
      <c r="Q16" s="616">
        <v>4.4771949999999998E-2</v>
      </c>
      <c r="R16" s="510">
        <v>3.0428218999999999E-2</v>
      </c>
      <c r="S16" s="510">
        <v>7.4554364999999997E-2</v>
      </c>
      <c r="T16" s="510">
        <v>7.6131373000000002E-2</v>
      </c>
      <c r="U16" s="510">
        <v>0.10416676</v>
      </c>
      <c r="V16" s="510">
        <v>8.8210218000000007E-2</v>
      </c>
      <c r="W16" s="510">
        <v>8.3706006999999999E-2</v>
      </c>
      <c r="X16" s="510">
        <v>8.9029536000000006E-2</v>
      </c>
      <c r="Y16" s="510">
        <v>6.5010677000000003E-2</v>
      </c>
      <c r="Z16" s="510">
        <v>7.1142315999999997E-2</v>
      </c>
      <c r="AA16" s="510">
        <v>7.2040084000000004E-2</v>
      </c>
      <c r="AB16" s="510">
        <v>8.2486951000000003E-2</v>
      </c>
      <c r="AC16" s="523">
        <v>1.8734912E-3</v>
      </c>
      <c r="AD16" s="523">
        <v>2.8872311000000001E-3</v>
      </c>
      <c r="AE16" s="510">
        <v>2.2347770999999999E-3</v>
      </c>
      <c r="AF16" s="616">
        <v>1.8784877999999999E-3</v>
      </c>
      <c r="AG16" s="616">
        <v>2.1957728000000002E-3</v>
      </c>
      <c r="AH16" s="510">
        <v>1.7068908E-3</v>
      </c>
      <c r="CS16" s="440"/>
      <c r="CT16" s="440"/>
      <c r="CU16" s="440"/>
      <c r="CV16" s="440"/>
      <c r="CW16" s="440"/>
      <c r="CX16" s="440"/>
      <c r="CY16" s="440"/>
      <c r="CZ16" s="440"/>
      <c r="DA16" s="440"/>
      <c r="DB16" s="440"/>
      <c r="DC16" s="440"/>
      <c r="DD16" s="440"/>
      <c r="DE16" s="440"/>
      <c r="DF16" s="440"/>
      <c r="DG16" s="440"/>
      <c r="DH16" s="440"/>
      <c r="DI16" s="440"/>
      <c r="DJ16" s="440"/>
      <c r="DK16" s="440"/>
      <c r="DL16" s="440"/>
      <c r="DM16" s="440"/>
      <c r="DN16" s="440"/>
      <c r="DO16" s="440"/>
      <c r="DP16" s="440"/>
      <c r="DQ16" s="440"/>
      <c r="DR16" s="440"/>
      <c r="DS16" s="440"/>
      <c r="DT16" s="440"/>
      <c r="DU16" s="440"/>
      <c r="DV16" s="440"/>
      <c r="DW16" s="440"/>
      <c r="DX16" s="440"/>
      <c r="DY16" s="440"/>
      <c r="DZ16" s="440"/>
      <c r="EA16" s="440"/>
      <c r="EB16" s="440"/>
      <c r="EC16" s="440"/>
      <c r="ED16" s="440"/>
      <c r="EE16" s="440"/>
      <c r="EF16" s="440"/>
      <c r="EG16" s="440"/>
      <c r="EH16" s="440"/>
      <c r="EI16" s="440"/>
      <c r="EJ16" s="440"/>
      <c r="EK16" s="440"/>
      <c r="EL16" s="440"/>
      <c r="EM16" s="440"/>
      <c r="EN16" s="440"/>
      <c r="EO16" s="440"/>
      <c r="EP16" s="440"/>
      <c r="EQ16" s="440"/>
      <c r="ER16" s="440"/>
      <c r="ES16" s="440"/>
      <c r="ET16" s="440"/>
      <c r="EU16" s="440"/>
      <c r="EV16" s="440"/>
      <c r="EW16" s="440"/>
      <c r="EX16" s="440"/>
      <c r="EY16" s="440"/>
      <c r="EZ16" s="440"/>
      <c r="FA16" s="440"/>
      <c r="FB16" s="440"/>
      <c r="FC16" s="440"/>
    </row>
    <row r="17" spans="1:159" s="291" customFormat="1" ht="9.75" hidden="1" customHeight="1" x14ac:dyDescent="0.15">
      <c r="A17" s="292"/>
      <c r="B17" s="269"/>
      <c r="C17" s="294"/>
      <c r="D17" s="295"/>
      <c r="E17" s="524"/>
      <c r="F17" s="524"/>
      <c r="G17" s="509"/>
      <c r="H17" s="614"/>
      <c r="I17" s="614"/>
      <c r="J17" s="509"/>
      <c r="K17" s="509"/>
      <c r="L17" s="509"/>
      <c r="M17" s="524"/>
      <c r="N17" s="524"/>
      <c r="O17" s="509"/>
      <c r="P17" s="614"/>
      <c r="Q17" s="614"/>
      <c r="R17" s="509"/>
      <c r="S17" s="509"/>
      <c r="T17" s="509"/>
      <c r="U17" s="509"/>
      <c r="V17" s="509"/>
      <c r="W17" s="509"/>
      <c r="X17" s="509"/>
      <c r="Y17" s="509"/>
      <c r="Z17" s="509"/>
      <c r="AA17" s="509"/>
      <c r="AB17" s="509"/>
      <c r="AC17" s="524"/>
      <c r="AD17" s="524"/>
      <c r="AE17" s="509"/>
      <c r="AF17" s="614"/>
      <c r="AG17" s="614"/>
      <c r="AH17" s="509"/>
      <c r="CS17" s="440"/>
      <c r="CT17" s="440"/>
      <c r="CU17" s="440"/>
      <c r="CV17" s="440"/>
      <c r="CW17" s="440"/>
      <c r="CX17" s="440"/>
      <c r="CY17" s="440"/>
      <c r="CZ17" s="440"/>
      <c r="DA17" s="440"/>
      <c r="DB17" s="440"/>
      <c r="DC17" s="440"/>
      <c r="DD17" s="440"/>
      <c r="DE17" s="440"/>
      <c r="DF17" s="440"/>
      <c r="DG17" s="440"/>
      <c r="DH17" s="440"/>
      <c r="DI17" s="440"/>
      <c r="DJ17" s="440"/>
      <c r="DK17" s="440"/>
      <c r="DL17" s="440"/>
      <c r="DM17" s="440"/>
      <c r="DN17" s="440"/>
      <c r="DO17" s="440"/>
      <c r="DP17" s="440"/>
      <c r="DQ17" s="440"/>
      <c r="DR17" s="440"/>
      <c r="DS17" s="440"/>
      <c r="DT17" s="440"/>
      <c r="DU17" s="440"/>
      <c r="DV17" s="440"/>
      <c r="DW17" s="440"/>
      <c r="DX17" s="440"/>
      <c r="DY17" s="440"/>
      <c r="DZ17" s="440"/>
      <c r="EA17" s="440"/>
      <c r="EB17" s="440"/>
      <c r="EC17" s="440"/>
      <c r="ED17" s="440"/>
      <c r="EE17" s="440"/>
      <c r="EF17" s="440"/>
      <c r="EG17" s="440"/>
      <c r="EH17" s="440"/>
      <c r="EI17" s="440"/>
      <c r="EJ17" s="440"/>
      <c r="EK17" s="440"/>
      <c r="EL17" s="440"/>
      <c r="EM17" s="440"/>
      <c r="EN17" s="440"/>
      <c r="EO17" s="440"/>
      <c r="EP17" s="440"/>
      <c r="EQ17" s="440"/>
      <c r="ER17" s="440"/>
      <c r="ES17" s="440"/>
      <c r="ET17" s="440"/>
      <c r="EU17" s="440"/>
      <c r="EV17" s="440"/>
      <c r="EW17" s="440"/>
      <c r="EX17" s="440"/>
      <c r="EY17" s="440"/>
      <c r="EZ17" s="440"/>
      <c r="FA17" s="440"/>
      <c r="FB17" s="440"/>
      <c r="FC17" s="440"/>
    </row>
    <row r="18" spans="1:159" s="291" customFormat="1" ht="9.75" hidden="1" customHeight="1" x14ac:dyDescent="0.15">
      <c r="A18" s="292"/>
      <c r="B18" s="269"/>
      <c r="C18" s="294"/>
      <c r="D18" s="295"/>
      <c r="E18" s="524" t="s">
        <v>558</v>
      </c>
      <c r="F18" s="524" t="s">
        <v>558</v>
      </c>
      <c r="G18" s="509" t="s">
        <v>558</v>
      </c>
      <c r="H18" s="614" t="s">
        <v>558</v>
      </c>
      <c r="I18" s="614" t="s">
        <v>558</v>
      </c>
      <c r="J18" s="509" t="s">
        <v>558</v>
      </c>
      <c r="K18" s="509" t="s">
        <v>558</v>
      </c>
      <c r="L18" s="509" t="s">
        <v>558</v>
      </c>
      <c r="M18" s="524" t="s">
        <v>558</v>
      </c>
      <c r="N18" s="524" t="s">
        <v>558</v>
      </c>
      <c r="O18" s="509" t="s">
        <v>558</v>
      </c>
      <c r="P18" s="614" t="s">
        <v>558</v>
      </c>
      <c r="Q18" s="614" t="s">
        <v>558</v>
      </c>
      <c r="R18" s="509" t="s">
        <v>558</v>
      </c>
      <c r="S18" s="509" t="s">
        <v>558</v>
      </c>
      <c r="T18" s="509" t="s">
        <v>558</v>
      </c>
      <c r="U18" s="509" t="s">
        <v>558</v>
      </c>
      <c r="V18" s="509" t="s">
        <v>558</v>
      </c>
      <c r="W18" s="509" t="s">
        <v>558</v>
      </c>
      <c r="X18" s="509" t="s">
        <v>558</v>
      </c>
      <c r="Y18" s="509" t="s">
        <v>558</v>
      </c>
      <c r="Z18" s="509" t="s">
        <v>558</v>
      </c>
      <c r="AA18" s="509" t="s">
        <v>558</v>
      </c>
      <c r="AB18" s="509" t="s">
        <v>558</v>
      </c>
      <c r="AC18" s="524" t="s">
        <v>648</v>
      </c>
      <c r="AD18" s="524" t="s">
        <v>648</v>
      </c>
      <c r="AE18" s="509" t="s">
        <v>648</v>
      </c>
      <c r="AF18" s="614" t="s">
        <v>648</v>
      </c>
      <c r="AG18" s="614" t="s">
        <v>648</v>
      </c>
      <c r="AH18" s="509" t="s">
        <v>648</v>
      </c>
      <c r="CS18" s="440"/>
      <c r="CT18" s="440"/>
      <c r="CU18" s="440"/>
      <c r="CV18" s="440"/>
      <c r="CW18" s="440"/>
      <c r="CX18" s="440"/>
      <c r="CY18" s="440"/>
      <c r="CZ18" s="440"/>
      <c r="DA18" s="440"/>
      <c r="DB18" s="440"/>
      <c r="DC18" s="440"/>
      <c r="DD18" s="440"/>
      <c r="DE18" s="440"/>
      <c r="DF18" s="440"/>
      <c r="DG18" s="440"/>
      <c r="DH18" s="440"/>
      <c r="DI18" s="440"/>
      <c r="DJ18" s="440"/>
      <c r="DK18" s="440"/>
      <c r="DL18" s="440"/>
      <c r="DM18" s="440"/>
      <c r="DN18" s="440"/>
      <c r="DO18" s="440"/>
      <c r="DP18" s="440"/>
      <c r="DQ18" s="440"/>
      <c r="DR18" s="440"/>
      <c r="DS18" s="440"/>
      <c r="DT18" s="440"/>
      <c r="DU18" s="440"/>
      <c r="DV18" s="440"/>
      <c r="DW18" s="440"/>
      <c r="DX18" s="440"/>
      <c r="DY18" s="440"/>
      <c r="DZ18" s="440"/>
      <c r="EA18" s="440"/>
      <c r="EB18" s="440"/>
      <c r="EC18" s="440"/>
      <c r="ED18" s="440"/>
      <c r="EE18" s="440"/>
      <c r="EF18" s="440"/>
      <c r="EG18" s="440"/>
      <c r="EH18" s="440"/>
      <c r="EI18" s="440"/>
      <c r="EJ18" s="440"/>
      <c r="EK18" s="440"/>
      <c r="EL18" s="440"/>
      <c r="EM18" s="440"/>
      <c r="EN18" s="440"/>
      <c r="EO18" s="440"/>
      <c r="EP18" s="440"/>
      <c r="EQ18" s="440"/>
      <c r="ER18" s="440"/>
      <c r="ES18" s="440"/>
      <c r="ET18" s="440"/>
      <c r="EU18" s="440"/>
      <c r="EV18" s="440"/>
      <c r="EW18" s="440"/>
      <c r="EX18" s="440"/>
      <c r="EY18" s="440"/>
      <c r="EZ18" s="440"/>
      <c r="FA18" s="440"/>
      <c r="FB18" s="440"/>
      <c r="FC18" s="440"/>
    </row>
    <row r="19" spans="1:159" s="291" customFormat="1" ht="9.75" customHeight="1" x14ac:dyDescent="0.15">
      <c r="A19" s="774" t="s">
        <v>143</v>
      </c>
      <c r="B19" s="775"/>
      <c r="C19" s="294" t="s">
        <v>204</v>
      </c>
      <c r="D19" s="295"/>
      <c r="E19" s="524">
        <v>0.24310815999999999</v>
      </c>
      <c r="F19" s="524">
        <v>7.3521429999999999E-2</v>
      </c>
      <c r="G19" s="509">
        <v>0.12494861</v>
      </c>
      <c r="H19" s="614">
        <v>0.29568221</v>
      </c>
      <c r="I19" s="614">
        <v>0.21594738999999999</v>
      </c>
      <c r="J19" s="509">
        <v>0.13115434000000001</v>
      </c>
      <c r="K19" s="509">
        <v>0.16087325</v>
      </c>
      <c r="L19" s="509">
        <v>0.13698716</v>
      </c>
      <c r="M19" s="524">
        <v>0.55394244000000004</v>
      </c>
      <c r="N19" s="524">
        <v>0.54277734</v>
      </c>
      <c r="O19" s="509">
        <v>0.60198631000000002</v>
      </c>
      <c r="P19" s="614">
        <v>0.64104824000000005</v>
      </c>
      <c r="Q19" s="614">
        <v>0.37379678999999999</v>
      </c>
      <c r="R19" s="509">
        <v>0.51354820999999995</v>
      </c>
      <c r="S19" s="509">
        <v>8.5432187000000007E-2</v>
      </c>
      <c r="T19" s="509">
        <v>0.15651949000000001</v>
      </c>
      <c r="U19" s="509">
        <v>0.14650024</v>
      </c>
      <c r="V19" s="509">
        <v>9.3082733000000001E-2</v>
      </c>
      <c r="W19" s="509">
        <v>6.2848785000000004E-2</v>
      </c>
      <c r="X19" s="509">
        <v>3.3424463000000001E-2</v>
      </c>
      <c r="Y19" s="509">
        <v>2.1856671000000001E-2</v>
      </c>
      <c r="Z19" s="509">
        <v>0.15171336999999999</v>
      </c>
      <c r="AA19" s="509">
        <v>0.12976438000000001</v>
      </c>
      <c r="AB19" s="509">
        <v>5.6756998000000003E-2</v>
      </c>
      <c r="AC19" s="524">
        <v>42.087597000000002</v>
      </c>
      <c r="AD19" s="524">
        <v>49.157311</v>
      </c>
      <c r="AE19" s="509">
        <v>22.958867999999999</v>
      </c>
      <c r="AF19" s="614">
        <v>57.133848999999998</v>
      </c>
      <c r="AG19" s="614">
        <v>77.101586999999995</v>
      </c>
      <c r="AH19" s="509">
        <v>45.368989999999997</v>
      </c>
      <c r="CS19" s="440"/>
      <c r="CT19" s="440"/>
      <c r="CU19" s="440"/>
      <c r="CV19" s="440"/>
      <c r="CW19" s="440"/>
      <c r="CX19" s="440"/>
      <c r="CY19" s="440"/>
      <c r="CZ19" s="440"/>
      <c r="DA19" s="440"/>
      <c r="DB19" s="440"/>
      <c r="DC19" s="440"/>
      <c r="DD19" s="440"/>
      <c r="DE19" s="440"/>
      <c r="DF19" s="440"/>
      <c r="DG19" s="440"/>
      <c r="DH19" s="440"/>
      <c r="DI19" s="440"/>
      <c r="DJ19" s="440"/>
      <c r="DK19" s="440"/>
      <c r="DL19" s="440"/>
      <c r="DM19" s="440"/>
      <c r="DN19" s="440"/>
      <c r="DO19" s="440"/>
      <c r="DP19" s="440"/>
      <c r="DQ19" s="440"/>
      <c r="DR19" s="440"/>
      <c r="DS19" s="440"/>
      <c r="DT19" s="440"/>
      <c r="DU19" s="440"/>
      <c r="DV19" s="440"/>
      <c r="DW19" s="440"/>
      <c r="DX19" s="440"/>
      <c r="DY19" s="440"/>
      <c r="DZ19" s="440"/>
      <c r="EA19" s="440"/>
      <c r="EB19" s="440"/>
      <c r="EC19" s="440"/>
      <c r="ED19" s="440"/>
      <c r="EE19" s="440"/>
      <c r="EF19" s="440"/>
      <c r="EG19" s="440"/>
      <c r="EH19" s="440"/>
      <c r="EI19" s="440"/>
      <c r="EJ19" s="440"/>
      <c r="EK19" s="440"/>
      <c r="EL19" s="440"/>
      <c r="EM19" s="440"/>
      <c r="EN19" s="440"/>
      <c r="EO19" s="440"/>
      <c r="EP19" s="440"/>
      <c r="EQ19" s="440"/>
      <c r="ER19" s="440"/>
      <c r="ES19" s="440"/>
      <c r="ET19" s="440"/>
      <c r="EU19" s="440"/>
      <c r="EV19" s="440"/>
      <c r="EW19" s="440"/>
      <c r="EX19" s="440"/>
      <c r="EY19" s="440"/>
      <c r="EZ19" s="440"/>
      <c r="FA19" s="440"/>
      <c r="FB19" s="440"/>
      <c r="FC19" s="440"/>
    </row>
    <row r="20" spans="1:159" s="291" customFormat="1" ht="9.75" customHeight="1" x14ac:dyDescent="0.15">
      <c r="A20" s="776"/>
      <c r="B20" s="777"/>
      <c r="C20" s="296" t="s">
        <v>205</v>
      </c>
      <c r="D20" s="297"/>
      <c r="E20" s="523">
        <v>1.1233664000000001E-2</v>
      </c>
      <c r="F20" s="523">
        <v>5.9942229E-2</v>
      </c>
      <c r="G20" s="510">
        <v>2.5972222E-2</v>
      </c>
      <c r="H20" s="616">
        <v>1.8999536000000001E-2</v>
      </c>
      <c r="I20" s="616">
        <v>2.8390747000000001E-2</v>
      </c>
      <c r="J20" s="510">
        <v>2.6506410000000001E-2</v>
      </c>
      <c r="K20" s="510">
        <v>3.3013925999999999E-2</v>
      </c>
      <c r="L20" s="510">
        <v>1.9341553000000001E-2</v>
      </c>
      <c r="M20" s="523">
        <v>6.2759879000000001E-3</v>
      </c>
      <c r="N20" s="523">
        <v>7.6336870000000001E-3</v>
      </c>
      <c r="O20" s="510">
        <v>1.4352760000000001E-2</v>
      </c>
      <c r="P20" s="616">
        <v>7.9666323000000001E-3</v>
      </c>
      <c r="Q20" s="616">
        <v>9.0736681999999992E-3</v>
      </c>
      <c r="R20" s="510">
        <v>1.0732416E-2</v>
      </c>
      <c r="S20" s="510">
        <v>3.6645964000000003E-2</v>
      </c>
      <c r="T20" s="510">
        <v>2.0078519E-2</v>
      </c>
      <c r="U20" s="510">
        <v>2.9721929000000001E-2</v>
      </c>
      <c r="V20" s="510">
        <v>2.3793715E-2</v>
      </c>
      <c r="W20" s="510">
        <v>2.9785827000000001E-2</v>
      </c>
      <c r="X20" s="510">
        <v>4.4912502E-2</v>
      </c>
      <c r="Y20" s="510">
        <v>2.6786675999999999E-2</v>
      </c>
      <c r="Z20" s="510">
        <v>1.9926032E-2</v>
      </c>
      <c r="AA20" s="510">
        <v>3.1911604000000003E-2</v>
      </c>
      <c r="AB20" s="510">
        <v>3.4038496000000001E-2</v>
      </c>
      <c r="AC20" s="523">
        <v>1.4104891E-2</v>
      </c>
      <c r="AD20" s="523">
        <v>2.2815258000000001E-2</v>
      </c>
      <c r="AE20" s="510">
        <v>9.0154998E-3</v>
      </c>
      <c r="AF20" s="616">
        <v>1.1082389E-2</v>
      </c>
      <c r="AG20" s="616">
        <v>1.6650442000000001E-2</v>
      </c>
      <c r="AH20" s="510">
        <v>1.1735097999999999E-2</v>
      </c>
      <c r="CS20" s="440"/>
      <c r="CT20" s="440"/>
      <c r="CU20" s="440"/>
      <c r="CV20" s="440"/>
      <c r="CW20" s="440"/>
      <c r="CX20" s="440"/>
      <c r="CY20" s="440"/>
      <c r="CZ20" s="440"/>
      <c r="DA20" s="440"/>
      <c r="DB20" s="440"/>
      <c r="DC20" s="440"/>
      <c r="DD20" s="440"/>
      <c r="DE20" s="440"/>
      <c r="DF20" s="440"/>
      <c r="DG20" s="440"/>
      <c r="DH20" s="440"/>
      <c r="DI20" s="440"/>
      <c r="DJ20" s="440"/>
      <c r="DK20" s="440"/>
      <c r="DL20" s="440"/>
      <c r="DM20" s="440"/>
      <c r="DN20" s="440"/>
      <c r="DO20" s="440"/>
      <c r="DP20" s="440"/>
      <c r="DQ20" s="440"/>
      <c r="DR20" s="440"/>
      <c r="DS20" s="440"/>
      <c r="DT20" s="440"/>
      <c r="DU20" s="440"/>
      <c r="DV20" s="440"/>
      <c r="DW20" s="440"/>
      <c r="DX20" s="440"/>
      <c r="DY20" s="440"/>
      <c r="DZ20" s="440"/>
      <c r="EA20" s="440"/>
      <c r="EB20" s="440"/>
      <c r="EC20" s="440"/>
      <c r="ED20" s="440"/>
      <c r="EE20" s="440"/>
      <c r="EF20" s="440"/>
      <c r="EG20" s="440"/>
      <c r="EH20" s="440"/>
      <c r="EI20" s="440"/>
      <c r="EJ20" s="440"/>
      <c r="EK20" s="440"/>
      <c r="EL20" s="440"/>
      <c r="EM20" s="440"/>
      <c r="EN20" s="440"/>
      <c r="EO20" s="440"/>
      <c r="EP20" s="440"/>
      <c r="EQ20" s="440"/>
      <c r="ER20" s="440"/>
      <c r="ES20" s="440"/>
      <c r="ET20" s="440"/>
      <c r="EU20" s="440"/>
      <c r="EV20" s="440"/>
      <c r="EW20" s="440"/>
      <c r="EX20" s="440"/>
      <c r="EY20" s="440"/>
      <c r="EZ20" s="440"/>
      <c r="FA20" s="440"/>
      <c r="FB20" s="440"/>
      <c r="FC20" s="440"/>
    </row>
    <row r="21" spans="1:159" s="291" customFormat="1" ht="9.75" hidden="1" customHeight="1" x14ac:dyDescent="0.15">
      <c r="A21" s="292"/>
      <c r="B21" s="269"/>
      <c r="C21" s="294"/>
      <c r="D21" s="295"/>
      <c r="E21" s="524"/>
      <c r="F21" s="524"/>
      <c r="G21" s="509"/>
      <c r="H21" s="614"/>
      <c r="I21" s="614"/>
      <c r="J21" s="509"/>
      <c r="K21" s="509"/>
      <c r="L21" s="509"/>
      <c r="M21" s="524"/>
      <c r="N21" s="524"/>
      <c r="O21" s="509"/>
      <c r="P21" s="614"/>
      <c r="Q21" s="614"/>
      <c r="R21" s="509"/>
      <c r="S21" s="509"/>
      <c r="T21" s="509"/>
      <c r="U21" s="509"/>
      <c r="V21" s="509"/>
      <c r="W21" s="509"/>
      <c r="X21" s="509"/>
      <c r="Y21" s="509"/>
      <c r="Z21" s="509"/>
      <c r="AA21" s="509"/>
      <c r="AB21" s="509"/>
      <c r="AC21" s="524"/>
      <c r="AD21" s="524"/>
      <c r="AE21" s="509"/>
      <c r="AF21" s="614"/>
      <c r="AG21" s="614"/>
      <c r="AH21" s="509"/>
      <c r="CS21" s="440"/>
      <c r="CT21" s="440"/>
      <c r="CU21" s="440"/>
      <c r="CV21" s="440"/>
      <c r="CW21" s="440"/>
      <c r="CX21" s="440"/>
      <c r="CY21" s="440"/>
      <c r="CZ21" s="440"/>
      <c r="DA21" s="440"/>
      <c r="DB21" s="440"/>
      <c r="DC21" s="440"/>
      <c r="DD21" s="440"/>
      <c r="DE21" s="440"/>
      <c r="DF21" s="440"/>
      <c r="DG21" s="440"/>
      <c r="DH21" s="440"/>
      <c r="DI21" s="440"/>
      <c r="DJ21" s="440"/>
      <c r="DK21" s="440"/>
      <c r="DL21" s="440"/>
      <c r="DM21" s="440"/>
      <c r="DN21" s="440"/>
      <c r="DO21" s="440"/>
      <c r="DP21" s="440"/>
      <c r="DQ21" s="440"/>
      <c r="DR21" s="440"/>
      <c r="DS21" s="440"/>
      <c r="DT21" s="440"/>
      <c r="DU21" s="440"/>
      <c r="DV21" s="440"/>
      <c r="DW21" s="440"/>
      <c r="DX21" s="440"/>
      <c r="DY21" s="440"/>
      <c r="DZ21" s="440"/>
      <c r="EA21" s="440"/>
      <c r="EB21" s="440"/>
      <c r="EC21" s="440"/>
      <c r="ED21" s="440"/>
      <c r="EE21" s="440"/>
      <c r="EF21" s="440"/>
      <c r="EG21" s="440"/>
      <c r="EH21" s="440"/>
      <c r="EI21" s="440"/>
      <c r="EJ21" s="440"/>
      <c r="EK21" s="440"/>
      <c r="EL21" s="440"/>
      <c r="EM21" s="440"/>
      <c r="EN21" s="440"/>
      <c r="EO21" s="440"/>
      <c r="EP21" s="440"/>
      <c r="EQ21" s="440"/>
      <c r="ER21" s="440"/>
      <c r="ES21" s="440"/>
      <c r="ET21" s="440"/>
      <c r="EU21" s="440"/>
      <c r="EV21" s="440"/>
      <c r="EW21" s="440"/>
      <c r="EX21" s="440"/>
      <c r="EY21" s="440"/>
      <c r="EZ21" s="440"/>
      <c r="FA21" s="440"/>
      <c r="FB21" s="440"/>
      <c r="FC21" s="440"/>
    </row>
    <row r="22" spans="1:159" s="291" customFormat="1" ht="9.75" hidden="1" customHeight="1" x14ac:dyDescent="0.15">
      <c r="A22" s="292"/>
      <c r="B22" s="269"/>
      <c r="C22" s="294"/>
      <c r="D22" s="295"/>
      <c r="E22" s="524" t="s">
        <v>559</v>
      </c>
      <c r="F22" s="524" t="s">
        <v>559</v>
      </c>
      <c r="G22" s="509" t="s">
        <v>559</v>
      </c>
      <c r="H22" s="614" t="s">
        <v>559</v>
      </c>
      <c r="I22" s="614" t="s">
        <v>559</v>
      </c>
      <c r="J22" s="509" t="s">
        <v>559</v>
      </c>
      <c r="K22" s="509" t="s">
        <v>559</v>
      </c>
      <c r="L22" s="509" t="s">
        <v>559</v>
      </c>
      <c r="M22" s="524" t="s">
        <v>559</v>
      </c>
      <c r="N22" s="524" t="s">
        <v>559</v>
      </c>
      <c r="O22" s="509" t="s">
        <v>559</v>
      </c>
      <c r="P22" s="614" t="s">
        <v>559</v>
      </c>
      <c r="Q22" s="614" t="s">
        <v>559</v>
      </c>
      <c r="R22" s="509" t="s">
        <v>559</v>
      </c>
      <c r="S22" s="509" t="s">
        <v>559</v>
      </c>
      <c r="T22" s="509" t="s">
        <v>559</v>
      </c>
      <c r="U22" s="509" t="s">
        <v>559</v>
      </c>
      <c r="V22" s="509" t="s">
        <v>559</v>
      </c>
      <c r="W22" s="509" t="s">
        <v>559</v>
      </c>
      <c r="X22" s="509" t="s">
        <v>559</v>
      </c>
      <c r="Y22" s="509" t="s">
        <v>559</v>
      </c>
      <c r="Z22" s="509" t="s">
        <v>559</v>
      </c>
      <c r="AA22" s="509" t="s">
        <v>559</v>
      </c>
      <c r="AB22" s="509" t="s">
        <v>559</v>
      </c>
      <c r="AC22" s="524" t="s">
        <v>649</v>
      </c>
      <c r="AD22" s="524" t="s">
        <v>649</v>
      </c>
      <c r="AE22" s="509" t="s">
        <v>649</v>
      </c>
      <c r="AF22" s="614" t="s">
        <v>649</v>
      </c>
      <c r="AG22" s="614" t="s">
        <v>649</v>
      </c>
      <c r="AH22" s="509" t="s">
        <v>649</v>
      </c>
      <c r="CS22" s="440"/>
      <c r="CT22" s="440"/>
      <c r="CU22" s="440"/>
      <c r="CV22" s="440"/>
      <c r="CW22" s="440"/>
      <c r="CX22" s="440"/>
      <c r="CY22" s="440"/>
      <c r="CZ22" s="440"/>
      <c r="DA22" s="440"/>
      <c r="DB22" s="440"/>
      <c r="DC22" s="440"/>
      <c r="DD22" s="440"/>
      <c r="DE22" s="440"/>
      <c r="DF22" s="440"/>
      <c r="DG22" s="440"/>
      <c r="DH22" s="440"/>
      <c r="DI22" s="440"/>
      <c r="DJ22" s="440"/>
      <c r="DK22" s="440"/>
      <c r="DL22" s="440"/>
      <c r="DM22" s="440"/>
      <c r="DN22" s="440"/>
      <c r="DO22" s="440"/>
      <c r="DP22" s="440"/>
      <c r="DQ22" s="440"/>
      <c r="DR22" s="440"/>
      <c r="DS22" s="440"/>
      <c r="DT22" s="440"/>
      <c r="DU22" s="440"/>
      <c r="DV22" s="440"/>
      <c r="DW22" s="440"/>
      <c r="DX22" s="440"/>
      <c r="DY22" s="440"/>
      <c r="DZ22" s="440"/>
      <c r="EA22" s="440"/>
      <c r="EB22" s="440"/>
      <c r="EC22" s="440"/>
      <c r="ED22" s="440"/>
      <c r="EE22" s="440"/>
      <c r="EF22" s="440"/>
      <c r="EG22" s="440"/>
      <c r="EH22" s="440"/>
      <c r="EI22" s="440"/>
      <c r="EJ22" s="440"/>
      <c r="EK22" s="440"/>
      <c r="EL22" s="440"/>
      <c r="EM22" s="440"/>
      <c r="EN22" s="440"/>
      <c r="EO22" s="440"/>
      <c r="EP22" s="440"/>
      <c r="EQ22" s="440"/>
      <c r="ER22" s="440"/>
      <c r="ES22" s="440"/>
      <c r="ET22" s="440"/>
      <c r="EU22" s="440"/>
      <c r="EV22" s="440"/>
      <c r="EW22" s="440"/>
      <c r="EX22" s="440"/>
      <c r="EY22" s="440"/>
      <c r="EZ22" s="440"/>
      <c r="FA22" s="440"/>
      <c r="FB22" s="440"/>
      <c r="FC22" s="440"/>
    </row>
    <row r="23" spans="1:159" s="291" customFormat="1" ht="9.75" customHeight="1" x14ac:dyDescent="0.15">
      <c r="A23" s="774" t="s">
        <v>144</v>
      </c>
      <c r="B23" s="775"/>
      <c r="C23" s="294" t="s">
        <v>204</v>
      </c>
      <c r="D23" s="295"/>
      <c r="E23" s="524">
        <v>7.1693919999999994E-2</v>
      </c>
      <c r="F23" s="524">
        <v>5.2359376999999999E-2</v>
      </c>
      <c r="G23" s="509">
        <v>8.4999415999999994E-2</v>
      </c>
      <c r="H23" s="614">
        <v>0.22338503000000001</v>
      </c>
      <c r="I23" s="614">
        <v>0.15169594</v>
      </c>
      <c r="J23" s="509">
        <v>9.3780287000000004E-2</v>
      </c>
      <c r="K23" s="509">
        <v>0.10114077</v>
      </c>
      <c r="L23" s="509">
        <v>9.0029996000000001E-2</v>
      </c>
      <c r="M23" s="524">
        <v>2.8868536E-2</v>
      </c>
      <c r="N23" s="524">
        <v>3.0017604999999999E-2</v>
      </c>
      <c r="O23" s="509">
        <v>3.3524850000000002E-2</v>
      </c>
      <c r="P23" s="614">
        <v>3.4385310000000002E-2</v>
      </c>
      <c r="Q23" s="614">
        <v>2.4203791999999998E-2</v>
      </c>
      <c r="R23" s="509">
        <v>2.8375734E-2</v>
      </c>
      <c r="S23" s="509">
        <v>6.8461295999999996E-3</v>
      </c>
      <c r="T23" s="509">
        <v>1.6643415000000002E-2</v>
      </c>
      <c r="U23" s="509">
        <v>1.6407866E-2</v>
      </c>
      <c r="V23" s="509">
        <v>1.2367054000000001E-2</v>
      </c>
      <c r="W23" s="509">
        <v>1.2186130999999999E-2</v>
      </c>
      <c r="X23" s="509">
        <v>6.7799860999999996E-3</v>
      </c>
      <c r="Y23" s="509">
        <v>5.8589007999999996E-3</v>
      </c>
      <c r="Z23" s="509">
        <v>1.6176893000000001E-2</v>
      </c>
      <c r="AA23" s="509">
        <v>2.0147186000000001E-2</v>
      </c>
      <c r="AB23" s="509">
        <v>9.1947000999999997E-3</v>
      </c>
      <c r="AC23" s="524">
        <v>7.2650201000000001</v>
      </c>
      <c r="AD23" s="524">
        <v>8.4868249000000002</v>
      </c>
      <c r="AE23" s="509">
        <v>3.9673338999999999</v>
      </c>
      <c r="AF23" s="614">
        <v>9.8789908000000004</v>
      </c>
      <c r="AG23" s="614">
        <v>13.311624</v>
      </c>
      <c r="AH23" s="509">
        <v>7.8533277000000004</v>
      </c>
      <c r="CS23" s="440"/>
      <c r="CT23" s="440"/>
      <c r="CU23" s="440"/>
      <c r="CV23" s="440"/>
      <c r="CW23" s="440"/>
      <c r="CX23" s="440"/>
      <c r="CY23" s="440"/>
      <c r="CZ23" s="440"/>
      <c r="DA23" s="440"/>
      <c r="DB23" s="440"/>
      <c r="DC23" s="440"/>
      <c r="DD23" s="440"/>
      <c r="DE23" s="440"/>
      <c r="DF23" s="440"/>
      <c r="DG23" s="440"/>
      <c r="DH23" s="440"/>
      <c r="DI23" s="440"/>
      <c r="DJ23" s="440"/>
      <c r="DK23" s="440"/>
      <c r="DL23" s="440"/>
      <c r="DM23" s="440"/>
      <c r="DN23" s="440"/>
      <c r="DO23" s="440"/>
      <c r="DP23" s="440"/>
      <c r="DQ23" s="440"/>
      <c r="DR23" s="440"/>
      <c r="DS23" s="440"/>
      <c r="DT23" s="440"/>
      <c r="DU23" s="440"/>
      <c r="DV23" s="440"/>
      <c r="DW23" s="440"/>
      <c r="DX23" s="440"/>
      <c r="DY23" s="440"/>
      <c r="DZ23" s="440"/>
      <c r="EA23" s="440"/>
      <c r="EB23" s="440"/>
      <c r="EC23" s="440"/>
      <c r="ED23" s="440"/>
      <c r="EE23" s="440"/>
      <c r="EF23" s="440"/>
      <c r="EG23" s="440"/>
      <c r="EH23" s="440"/>
      <c r="EI23" s="440"/>
      <c r="EJ23" s="440"/>
      <c r="EK23" s="440"/>
      <c r="EL23" s="440"/>
      <c r="EM23" s="440"/>
      <c r="EN23" s="440"/>
      <c r="EO23" s="440"/>
      <c r="EP23" s="440"/>
      <c r="EQ23" s="440"/>
      <c r="ER23" s="440"/>
      <c r="ES23" s="440"/>
      <c r="ET23" s="440"/>
      <c r="EU23" s="440"/>
      <c r="EV23" s="440"/>
      <c r="EW23" s="440"/>
      <c r="EX23" s="440"/>
      <c r="EY23" s="440"/>
      <c r="EZ23" s="440"/>
      <c r="FA23" s="440"/>
      <c r="FB23" s="440"/>
      <c r="FC23" s="440"/>
    </row>
    <row r="24" spans="1:159" s="291" customFormat="1" ht="9.75" customHeight="1" x14ac:dyDescent="0.15">
      <c r="A24" s="776"/>
      <c r="B24" s="777"/>
      <c r="C24" s="296" t="s">
        <v>205</v>
      </c>
      <c r="D24" s="297"/>
      <c r="E24" s="523">
        <v>1.9672064999999999E-2</v>
      </c>
      <c r="F24" s="523">
        <v>6.1519699999999997E-2</v>
      </c>
      <c r="G24" s="510">
        <v>3.4542755000000001E-2</v>
      </c>
      <c r="H24" s="616">
        <v>2.492985E-2</v>
      </c>
      <c r="I24" s="616">
        <v>2.6727422000000001E-2</v>
      </c>
      <c r="J24" s="510">
        <v>3.3850994000000002E-2</v>
      </c>
      <c r="K24" s="510">
        <v>3.5050001999999997E-2</v>
      </c>
      <c r="L24" s="510">
        <v>1.8741437E-2</v>
      </c>
      <c r="M24" s="523">
        <v>2.8521257000000001E-2</v>
      </c>
      <c r="N24" s="523">
        <v>3.3846148E-2</v>
      </c>
      <c r="O24" s="510">
        <v>2.7540327E-2</v>
      </c>
      <c r="P24" s="616">
        <v>3.569547E-2</v>
      </c>
      <c r="Q24" s="616">
        <v>4.2019781999999999E-2</v>
      </c>
      <c r="R24" s="510">
        <v>3.2160411E-2</v>
      </c>
      <c r="S24" s="510">
        <v>6.8238422000000007E-2</v>
      </c>
      <c r="T24" s="510">
        <v>7.7876505999999998E-2</v>
      </c>
      <c r="U24" s="510">
        <v>9.8313703000000002E-2</v>
      </c>
      <c r="V24" s="510">
        <v>7.5886485000000004E-2</v>
      </c>
      <c r="W24" s="510">
        <v>8.4615474999999996E-2</v>
      </c>
      <c r="X24" s="510">
        <v>9.2140116999999994E-2</v>
      </c>
      <c r="Y24" s="510">
        <v>6.9536207000000003E-2</v>
      </c>
      <c r="Z24" s="510">
        <v>6.1197922000000002E-2</v>
      </c>
      <c r="AA24" s="510">
        <v>7.2557095000000002E-2</v>
      </c>
      <c r="AB24" s="510">
        <v>8.4832565999999998E-2</v>
      </c>
      <c r="AC24" s="523">
        <v>1.5539588999999999E-2</v>
      </c>
      <c r="AD24" s="523">
        <v>2.4206203999999999E-2</v>
      </c>
      <c r="AE24" s="510">
        <v>9.2898844999999997E-3</v>
      </c>
      <c r="AF24" s="616">
        <v>1.1049322E-2</v>
      </c>
      <c r="AG24" s="616">
        <v>1.8687044E-2</v>
      </c>
      <c r="AH24" s="510">
        <v>1.1702422000000001E-2</v>
      </c>
      <c r="CS24" s="440"/>
      <c r="CT24" s="440"/>
      <c r="CU24" s="440"/>
      <c r="CV24" s="440"/>
      <c r="CW24" s="440"/>
      <c r="CX24" s="440"/>
      <c r="CY24" s="440"/>
      <c r="CZ24" s="440"/>
      <c r="DA24" s="440"/>
      <c r="DB24" s="440"/>
      <c r="DC24" s="440"/>
      <c r="DD24" s="440"/>
      <c r="DE24" s="440"/>
      <c r="DF24" s="440"/>
      <c r="DG24" s="440"/>
      <c r="DH24" s="440"/>
      <c r="DI24" s="440"/>
      <c r="DJ24" s="440"/>
      <c r="DK24" s="440"/>
      <c r="DL24" s="440"/>
      <c r="DM24" s="440"/>
      <c r="DN24" s="440"/>
      <c r="DO24" s="440"/>
      <c r="DP24" s="440"/>
      <c r="DQ24" s="440"/>
      <c r="DR24" s="440"/>
      <c r="DS24" s="440"/>
      <c r="DT24" s="440"/>
      <c r="DU24" s="440"/>
      <c r="DV24" s="440"/>
      <c r="DW24" s="440"/>
      <c r="DX24" s="440"/>
      <c r="DY24" s="440"/>
      <c r="DZ24" s="440"/>
      <c r="EA24" s="440"/>
      <c r="EB24" s="440"/>
      <c r="EC24" s="440"/>
      <c r="ED24" s="440"/>
      <c r="EE24" s="440"/>
      <c r="EF24" s="440"/>
      <c r="EG24" s="440"/>
      <c r="EH24" s="440"/>
      <c r="EI24" s="440"/>
      <c r="EJ24" s="440"/>
      <c r="EK24" s="440"/>
      <c r="EL24" s="440"/>
      <c r="EM24" s="440"/>
      <c r="EN24" s="440"/>
      <c r="EO24" s="440"/>
      <c r="EP24" s="440"/>
      <c r="EQ24" s="440"/>
      <c r="ER24" s="440"/>
      <c r="ES24" s="440"/>
      <c r="ET24" s="440"/>
      <c r="EU24" s="440"/>
      <c r="EV24" s="440"/>
      <c r="EW24" s="440"/>
      <c r="EX24" s="440"/>
      <c r="EY24" s="440"/>
      <c r="EZ24" s="440"/>
      <c r="FA24" s="440"/>
      <c r="FB24" s="440"/>
      <c r="FC24" s="440"/>
    </row>
    <row r="25" spans="1:159" s="291" customFormat="1" ht="9.75" hidden="1" customHeight="1" x14ac:dyDescent="0.15">
      <c r="A25" s="292"/>
      <c r="B25" s="269"/>
      <c r="C25" s="294"/>
      <c r="D25" s="295"/>
      <c r="E25" s="524"/>
      <c r="F25" s="524"/>
      <c r="G25" s="509"/>
      <c r="H25" s="614"/>
      <c r="I25" s="614"/>
      <c r="J25" s="509"/>
      <c r="K25" s="509"/>
      <c r="L25" s="509"/>
      <c r="M25" s="524"/>
      <c r="N25" s="524"/>
      <c r="O25" s="509"/>
      <c r="P25" s="614"/>
      <c r="Q25" s="614"/>
      <c r="R25" s="509"/>
      <c r="S25" s="509"/>
      <c r="T25" s="509"/>
      <c r="U25" s="509"/>
      <c r="V25" s="509"/>
      <c r="W25" s="509"/>
      <c r="X25" s="509"/>
      <c r="Y25" s="509"/>
      <c r="Z25" s="509"/>
      <c r="AA25" s="509"/>
      <c r="AB25" s="509"/>
      <c r="AC25" s="524"/>
      <c r="AD25" s="524"/>
      <c r="AE25" s="509"/>
      <c r="AF25" s="614"/>
      <c r="AG25" s="614"/>
      <c r="AH25" s="509"/>
      <c r="CS25" s="440"/>
      <c r="CT25" s="440"/>
      <c r="CU25" s="440"/>
      <c r="CV25" s="440"/>
      <c r="CW25" s="440"/>
      <c r="CX25" s="440"/>
      <c r="CY25" s="440"/>
      <c r="CZ25" s="440"/>
      <c r="DA25" s="440"/>
      <c r="DB25" s="440"/>
      <c r="DC25" s="440"/>
      <c r="DD25" s="440"/>
      <c r="DE25" s="440"/>
      <c r="DF25" s="440"/>
      <c r="DG25" s="440"/>
      <c r="DH25" s="440"/>
      <c r="DI25" s="440"/>
      <c r="DJ25" s="440"/>
      <c r="DK25" s="440"/>
      <c r="DL25" s="440"/>
      <c r="DM25" s="440"/>
      <c r="DN25" s="440"/>
      <c r="DO25" s="440"/>
      <c r="DP25" s="440"/>
      <c r="DQ25" s="440"/>
      <c r="DR25" s="440"/>
      <c r="DS25" s="440"/>
      <c r="DT25" s="440"/>
      <c r="DU25" s="440"/>
      <c r="DV25" s="440"/>
      <c r="DW25" s="440"/>
      <c r="DX25" s="440"/>
      <c r="DY25" s="440"/>
      <c r="DZ25" s="440"/>
      <c r="EA25" s="440"/>
      <c r="EB25" s="440"/>
      <c r="EC25" s="440"/>
      <c r="ED25" s="440"/>
      <c r="EE25" s="440"/>
      <c r="EF25" s="440"/>
      <c r="EG25" s="440"/>
      <c r="EH25" s="440"/>
      <c r="EI25" s="440"/>
      <c r="EJ25" s="440"/>
      <c r="EK25" s="440"/>
      <c r="EL25" s="440"/>
      <c r="EM25" s="440"/>
      <c r="EN25" s="440"/>
      <c r="EO25" s="440"/>
      <c r="EP25" s="440"/>
      <c r="EQ25" s="440"/>
      <c r="ER25" s="440"/>
      <c r="ES25" s="440"/>
      <c r="ET25" s="440"/>
      <c r="EU25" s="440"/>
      <c r="EV25" s="440"/>
      <c r="EW25" s="440"/>
      <c r="EX25" s="440"/>
      <c r="EY25" s="440"/>
      <c r="EZ25" s="440"/>
      <c r="FA25" s="440"/>
      <c r="FB25" s="440"/>
      <c r="FC25" s="440"/>
    </row>
    <row r="26" spans="1:159" s="291" customFormat="1" ht="9.75" hidden="1" customHeight="1" x14ac:dyDescent="0.15">
      <c r="A26" s="292"/>
      <c r="B26" s="269"/>
      <c r="C26" s="294"/>
      <c r="D26" s="295"/>
      <c r="E26" s="524" t="s">
        <v>560</v>
      </c>
      <c r="F26" s="524" t="s">
        <v>560</v>
      </c>
      <c r="G26" s="509" t="s">
        <v>560</v>
      </c>
      <c r="H26" s="614" t="s">
        <v>560</v>
      </c>
      <c r="I26" s="614" t="s">
        <v>560</v>
      </c>
      <c r="J26" s="509" t="s">
        <v>560</v>
      </c>
      <c r="K26" s="509" t="s">
        <v>560</v>
      </c>
      <c r="L26" s="509" t="s">
        <v>560</v>
      </c>
      <c r="M26" s="524" t="s">
        <v>560</v>
      </c>
      <c r="N26" s="524" t="s">
        <v>560</v>
      </c>
      <c r="O26" s="509" t="s">
        <v>560</v>
      </c>
      <c r="P26" s="614" t="s">
        <v>560</v>
      </c>
      <c r="Q26" s="614" t="s">
        <v>560</v>
      </c>
      <c r="R26" s="509" t="s">
        <v>560</v>
      </c>
      <c r="S26" s="509" t="s">
        <v>560</v>
      </c>
      <c r="T26" s="509" t="s">
        <v>560</v>
      </c>
      <c r="U26" s="509" t="s">
        <v>560</v>
      </c>
      <c r="V26" s="509" t="s">
        <v>560</v>
      </c>
      <c r="W26" s="509" t="s">
        <v>560</v>
      </c>
      <c r="X26" s="509" t="s">
        <v>560</v>
      </c>
      <c r="Y26" s="509" t="s">
        <v>560</v>
      </c>
      <c r="Z26" s="509" t="s">
        <v>560</v>
      </c>
      <c r="AA26" s="509" t="s">
        <v>560</v>
      </c>
      <c r="AB26" s="509" t="s">
        <v>560</v>
      </c>
      <c r="AC26" s="524" t="s">
        <v>650</v>
      </c>
      <c r="AD26" s="524" t="s">
        <v>650</v>
      </c>
      <c r="AE26" s="509" t="s">
        <v>650</v>
      </c>
      <c r="AF26" s="614" t="s">
        <v>650</v>
      </c>
      <c r="AG26" s="614" t="s">
        <v>650</v>
      </c>
      <c r="AH26" s="509" t="s">
        <v>650</v>
      </c>
      <c r="CS26" s="440"/>
      <c r="CT26" s="440"/>
      <c r="CU26" s="440"/>
      <c r="CV26" s="440"/>
      <c r="CW26" s="440"/>
      <c r="CX26" s="440"/>
      <c r="CY26" s="440"/>
      <c r="CZ26" s="440"/>
      <c r="DA26" s="440"/>
      <c r="DB26" s="440"/>
      <c r="DC26" s="440"/>
      <c r="DD26" s="440"/>
      <c r="DE26" s="440"/>
      <c r="DF26" s="440"/>
      <c r="DG26" s="440"/>
      <c r="DH26" s="440"/>
      <c r="DI26" s="440"/>
      <c r="DJ26" s="440"/>
      <c r="DK26" s="440"/>
      <c r="DL26" s="440"/>
      <c r="DM26" s="440"/>
      <c r="DN26" s="440"/>
      <c r="DO26" s="440"/>
      <c r="DP26" s="440"/>
      <c r="DQ26" s="440"/>
      <c r="DR26" s="440"/>
      <c r="DS26" s="440"/>
      <c r="DT26" s="440"/>
      <c r="DU26" s="440"/>
      <c r="DV26" s="440"/>
      <c r="DW26" s="440"/>
      <c r="DX26" s="440"/>
      <c r="DY26" s="440"/>
      <c r="DZ26" s="440"/>
      <c r="EA26" s="440"/>
      <c r="EB26" s="440"/>
      <c r="EC26" s="440"/>
      <c r="ED26" s="440"/>
      <c r="EE26" s="440"/>
      <c r="EF26" s="440"/>
      <c r="EG26" s="440"/>
      <c r="EH26" s="440"/>
      <c r="EI26" s="440"/>
      <c r="EJ26" s="440"/>
      <c r="EK26" s="440"/>
      <c r="EL26" s="440"/>
      <c r="EM26" s="440"/>
      <c r="EN26" s="440"/>
      <c r="EO26" s="440"/>
      <c r="EP26" s="440"/>
      <c r="EQ26" s="440"/>
      <c r="ER26" s="440"/>
      <c r="ES26" s="440"/>
      <c r="ET26" s="440"/>
      <c r="EU26" s="440"/>
      <c r="EV26" s="440"/>
      <c r="EW26" s="440"/>
      <c r="EX26" s="440"/>
      <c r="EY26" s="440"/>
      <c r="EZ26" s="440"/>
      <c r="FA26" s="440"/>
      <c r="FB26" s="440"/>
      <c r="FC26" s="440"/>
    </row>
    <row r="27" spans="1:159" s="291" customFormat="1" ht="9.75" customHeight="1" x14ac:dyDescent="0.15">
      <c r="A27" s="774" t="s">
        <v>145</v>
      </c>
      <c r="B27" s="775"/>
      <c r="C27" s="294" t="s">
        <v>204</v>
      </c>
      <c r="D27" s="295"/>
      <c r="E27" s="524">
        <v>4.1352196999999997E-3</v>
      </c>
      <c r="F27" s="524">
        <v>3.3994661999999999E-3</v>
      </c>
      <c r="G27" s="509">
        <v>5.4450059E-3</v>
      </c>
      <c r="H27" s="614">
        <v>1.430887E-2</v>
      </c>
      <c r="I27" s="614">
        <v>9.7252734999999993E-3</v>
      </c>
      <c r="J27" s="509">
        <v>6.0123642000000001E-3</v>
      </c>
      <c r="K27" s="509">
        <v>6.4252579000000001E-3</v>
      </c>
      <c r="L27" s="509">
        <v>5.7225814000000002E-3</v>
      </c>
      <c r="M27" s="524">
        <v>2.5973518000000002E-4</v>
      </c>
      <c r="N27" s="524">
        <v>3.7380745000000003E-4</v>
      </c>
      <c r="O27" s="509">
        <v>4.2400654E-4</v>
      </c>
      <c r="P27" s="614">
        <v>3.5827157000000001E-4</v>
      </c>
      <c r="Q27" s="614">
        <v>5.2279159000000002E-4</v>
      </c>
      <c r="R27" s="509">
        <v>3.6322873000000001E-4</v>
      </c>
      <c r="S27" s="509">
        <v>2.6526479999999997E-4</v>
      </c>
      <c r="T27" s="509">
        <v>7.2805888999999998E-4</v>
      </c>
      <c r="U27" s="509">
        <v>7.4108859999999998E-4</v>
      </c>
      <c r="V27" s="509">
        <v>6.2785129000000005E-4</v>
      </c>
      <c r="W27" s="509">
        <v>7.0941213E-4</v>
      </c>
      <c r="X27" s="509">
        <v>4.3811639999999998E-4</v>
      </c>
      <c r="Y27" s="509">
        <v>4.0883542999999999E-4</v>
      </c>
      <c r="Z27" s="509">
        <v>6.9576461000000003E-4</v>
      </c>
      <c r="AA27" s="509">
        <v>1.0371116000000001E-3</v>
      </c>
      <c r="AB27" s="509">
        <v>5.2673772000000005E-4</v>
      </c>
      <c r="AC27" s="524">
        <v>1.0156904E-3</v>
      </c>
      <c r="AD27" s="524">
        <v>9.0005726000000005E-4</v>
      </c>
      <c r="AE27" s="509">
        <v>6.4031261999999999E-4</v>
      </c>
      <c r="AF27" s="614">
        <v>1.8893893000000001E-3</v>
      </c>
      <c r="AG27" s="614">
        <v>2.4748451999999999E-3</v>
      </c>
      <c r="AH27" s="509">
        <v>2.2792691E-3</v>
      </c>
      <c r="CS27" s="440"/>
      <c r="CT27" s="440"/>
      <c r="CU27" s="440"/>
      <c r="CV27" s="440"/>
      <c r="CW27" s="440"/>
      <c r="CX27" s="440"/>
      <c r="CY27" s="440"/>
      <c r="CZ27" s="440"/>
      <c r="DA27" s="440"/>
      <c r="DB27" s="440"/>
      <c r="DC27" s="440"/>
      <c r="DD27" s="440"/>
      <c r="DE27" s="440"/>
      <c r="DF27" s="440"/>
      <c r="DG27" s="440"/>
      <c r="DH27" s="440"/>
      <c r="DI27" s="440"/>
      <c r="DJ27" s="440"/>
      <c r="DK27" s="440"/>
      <c r="DL27" s="440"/>
      <c r="DM27" s="440"/>
      <c r="DN27" s="440"/>
      <c r="DO27" s="440"/>
      <c r="DP27" s="440"/>
      <c r="DQ27" s="440"/>
      <c r="DR27" s="440"/>
      <c r="DS27" s="440"/>
      <c r="DT27" s="440"/>
      <c r="DU27" s="440"/>
      <c r="DV27" s="440"/>
      <c r="DW27" s="440"/>
      <c r="DX27" s="440"/>
      <c r="DY27" s="440"/>
      <c r="DZ27" s="440"/>
      <c r="EA27" s="440"/>
      <c r="EB27" s="440"/>
      <c r="EC27" s="440"/>
      <c r="ED27" s="440"/>
      <c r="EE27" s="440"/>
      <c r="EF27" s="440"/>
      <c r="EG27" s="440"/>
      <c r="EH27" s="440"/>
      <c r="EI27" s="440"/>
      <c r="EJ27" s="440"/>
      <c r="EK27" s="440"/>
      <c r="EL27" s="440"/>
      <c r="EM27" s="440"/>
      <c r="EN27" s="440"/>
      <c r="EO27" s="440"/>
      <c r="EP27" s="440"/>
      <c r="EQ27" s="440"/>
      <c r="ER27" s="440"/>
      <c r="ES27" s="440"/>
      <c r="ET27" s="440"/>
      <c r="EU27" s="440"/>
      <c r="EV27" s="440"/>
      <c r="EW27" s="440"/>
      <c r="EX27" s="440"/>
      <c r="EY27" s="440"/>
      <c r="EZ27" s="440"/>
      <c r="FA27" s="440"/>
      <c r="FB27" s="440"/>
      <c r="FC27" s="440"/>
    </row>
    <row r="28" spans="1:159" s="291" customFormat="1" ht="9.75" customHeight="1" x14ac:dyDescent="0.15">
      <c r="A28" s="776"/>
      <c r="B28" s="777"/>
      <c r="C28" s="296" t="s">
        <v>205</v>
      </c>
      <c r="D28" s="297"/>
      <c r="E28" s="523">
        <v>6.3249557999999997E-2</v>
      </c>
      <c r="F28" s="523">
        <v>0.22005243999999999</v>
      </c>
      <c r="G28" s="510">
        <v>0.10192246000000001</v>
      </c>
      <c r="H28" s="616">
        <v>4.9898766999999997E-2</v>
      </c>
      <c r="I28" s="616">
        <v>8.8508608000000003E-2</v>
      </c>
      <c r="J28" s="510">
        <v>8.3920573999999998E-2</v>
      </c>
      <c r="K28" s="510">
        <v>0.11529008</v>
      </c>
      <c r="L28" s="510">
        <v>6.6518849000000005E-2</v>
      </c>
      <c r="M28" s="523">
        <v>0.21814686999999999</v>
      </c>
      <c r="N28" s="523">
        <v>0.2973962</v>
      </c>
      <c r="O28" s="510">
        <v>0.24537481999999999</v>
      </c>
      <c r="P28" s="616">
        <v>0.27145017999999999</v>
      </c>
      <c r="Q28" s="616">
        <v>0.19919508999999999</v>
      </c>
      <c r="R28" s="510">
        <v>0.28217448000000001</v>
      </c>
      <c r="S28" s="510">
        <v>0.34728024000000002</v>
      </c>
      <c r="T28" s="510">
        <v>0.35990069000000002</v>
      </c>
      <c r="U28" s="510">
        <v>0.36296573999999998</v>
      </c>
      <c r="V28" s="510">
        <v>0.33567356999999998</v>
      </c>
      <c r="W28" s="510">
        <v>0.23368136</v>
      </c>
      <c r="X28" s="510">
        <v>0.26427287999999999</v>
      </c>
      <c r="Y28" s="510">
        <v>0.18663683</v>
      </c>
      <c r="Z28" s="510">
        <v>0.22856978</v>
      </c>
      <c r="AA28" s="510">
        <v>0.26859365000000002</v>
      </c>
      <c r="AB28" s="510">
        <v>0.24056347</v>
      </c>
      <c r="AC28" s="523">
        <v>0.19295016000000001</v>
      </c>
      <c r="AD28" s="523">
        <v>0.27122178000000002</v>
      </c>
      <c r="AE28" s="510">
        <v>0.24118475</v>
      </c>
      <c r="AF28" s="616">
        <v>0.14645103000000001</v>
      </c>
      <c r="AG28" s="616">
        <v>0.15511812999999999</v>
      </c>
      <c r="AH28" s="510">
        <v>0.15717606000000001</v>
      </c>
      <c r="CS28" s="440"/>
      <c r="CT28" s="440"/>
      <c r="CU28" s="440"/>
      <c r="CV28" s="440"/>
      <c r="CW28" s="440"/>
      <c r="CX28" s="440"/>
      <c r="CY28" s="440"/>
      <c r="CZ28" s="440"/>
      <c r="DA28" s="440"/>
      <c r="DB28" s="440"/>
      <c r="DC28" s="440"/>
      <c r="DD28" s="440"/>
      <c r="DE28" s="440"/>
      <c r="DF28" s="440"/>
      <c r="DG28" s="440"/>
      <c r="DH28" s="440"/>
      <c r="DI28" s="440"/>
      <c r="DJ28" s="440"/>
      <c r="DK28" s="440"/>
      <c r="DL28" s="440"/>
      <c r="DM28" s="440"/>
      <c r="DN28" s="440"/>
      <c r="DO28" s="440"/>
      <c r="DP28" s="440"/>
      <c r="DQ28" s="440"/>
      <c r="DR28" s="440"/>
      <c r="DS28" s="440"/>
      <c r="DT28" s="440"/>
      <c r="DU28" s="440"/>
      <c r="DV28" s="440"/>
      <c r="DW28" s="440"/>
      <c r="DX28" s="440"/>
      <c r="DY28" s="440"/>
      <c r="DZ28" s="440"/>
      <c r="EA28" s="440"/>
      <c r="EB28" s="440"/>
      <c r="EC28" s="440"/>
      <c r="ED28" s="440"/>
      <c r="EE28" s="440"/>
      <c r="EF28" s="440"/>
      <c r="EG28" s="440"/>
      <c r="EH28" s="440"/>
      <c r="EI28" s="440"/>
      <c r="EJ28" s="440"/>
      <c r="EK28" s="440"/>
      <c r="EL28" s="440"/>
      <c r="EM28" s="440"/>
      <c r="EN28" s="440"/>
      <c r="EO28" s="440"/>
      <c r="EP28" s="440"/>
      <c r="EQ28" s="440"/>
      <c r="ER28" s="440"/>
      <c r="ES28" s="440"/>
      <c r="ET28" s="440"/>
      <c r="EU28" s="440"/>
      <c r="EV28" s="440"/>
      <c r="EW28" s="440"/>
      <c r="EX28" s="440"/>
      <c r="EY28" s="440"/>
      <c r="EZ28" s="440"/>
      <c r="FA28" s="440"/>
      <c r="FB28" s="440"/>
      <c r="FC28" s="440"/>
    </row>
    <row r="29" spans="1:159" s="291" customFormat="1" ht="9.75" hidden="1" customHeight="1" x14ac:dyDescent="0.15">
      <c r="A29" s="292"/>
      <c r="B29" s="269"/>
      <c r="C29" s="294"/>
      <c r="D29" s="295"/>
      <c r="E29" s="524"/>
      <c r="F29" s="524"/>
      <c r="G29" s="509"/>
      <c r="H29" s="614"/>
      <c r="I29" s="614"/>
      <c r="J29" s="509"/>
      <c r="K29" s="509"/>
      <c r="L29" s="509"/>
      <c r="M29" s="524"/>
      <c r="N29" s="524"/>
      <c r="O29" s="509"/>
      <c r="P29" s="614"/>
      <c r="Q29" s="614"/>
      <c r="R29" s="509"/>
      <c r="S29" s="509"/>
      <c r="T29" s="509"/>
      <c r="U29" s="509"/>
      <c r="V29" s="509"/>
      <c r="W29" s="509"/>
      <c r="X29" s="509"/>
      <c r="Y29" s="509"/>
      <c r="Z29" s="509"/>
      <c r="AA29" s="509"/>
      <c r="AB29" s="509"/>
      <c r="AC29" s="524"/>
      <c r="AD29" s="524"/>
      <c r="AE29" s="509"/>
      <c r="AF29" s="614"/>
      <c r="AG29" s="614"/>
      <c r="AH29" s="509"/>
      <c r="CS29" s="440"/>
      <c r="CT29" s="440"/>
      <c r="CU29" s="440"/>
      <c r="CV29" s="440"/>
      <c r="CW29" s="440"/>
      <c r="CX29" s="440"/>
      <c r="CY29" s="440"/>
      <c r="CZ29" s="440"/>
      <c r="DA29" s="440"/>
      <c r="DB29" s="440"/>
      <c r="DC29" s="440"/>
      <c r="DD29" s="440"/>
      <c r="DE29" s="440"/>
      <c r="DF29" s="440"/>
      <c r="DG29" s="440"/>
      <c r="DH29" s="440"/>
      <c r="DI29" s="440"/>
      <c r="DJ29" s="440"/>
      <c r="DK29" s="440"/>
      <c r="DL29" s="440"/>
      <c r="DM29" s="440"/>
      <c r="DN29" s="440"/>
      <c r="DO29" s="440"/>
      <c r="DP29" s="440"/>
      <c r="DQ29" s="440"/>
      <c r="DR29" s="440"/>
      <c r="DS29" s="440"/>
      <c r="DT29" s="440"/>
      <c r="DU29" s="440"/>
      <c r="DV29" s="440"/>
      <c r="DW29" s="440"/>
      <c r="DX29" s="440"/>
      <c r="DY29" s="440"/>
      <c r="DZ29" s="440"/>
      <c r="EA29" s="440"/>
      <c r="EB29" s="440"/>
      <c r="EC29" s="440"/>
      <c r="ED29" s="440"/>
      <c r="EE29" s="440"/>
      <c r="EF29" s="440"/>
      <c r="EG29" s="440"/>
      <c r="EH29" s="440"/>
      <c r="EI29" s="440"/>
      <c r="EJ29" s="440"/>
      <c r="EK29" s="440"/>
      <c r="EL29" s="440"/>
      <c r="EM29" s="440"/>
      <c r="EN29" s="440"/>
      <c r="EO29" s="440"/>
      <c r="EP29" s="440"/>
      <c r="EQ29" s="440"/>
      <c r="ER29" s="440"/>
      <c r="ES29" s="440"/>
      <c r="ET29" s="440"/>
      <c r="EU29" s="440"/>
      <c r="EV29" s="440"/>
      <c r="EW29" s="440"/>
      <c r="EX29" s="440"/>
      <c r="EY29" s="440"/>
      <c r="EZ29" s="440"/>
      <c r="FA29" s="440"/>
      <c r="FB29" s="440"/>
      <c r="FC29" s="440"/>
    </row>
    <row r="30" spans="1:159" s="291" customFormat="1" ht="9.75" hidden="1" customHeight="1" x14ac:dyDescent="0.15">
      <c r="A30" s="292"/>
      <c r="B30" s="269"/>
      <c r="C30" s="294"/>
      <c r="D30" s="295"/>
      <c r="E30" s="524" t="s">
        <v>561</v>
      </c>
      <c r="F30" s="524" t="s">
        <v>561</v>
      </c>
      <c r="G30" s="509" t="s">
        <v>561</v>
      </c>
      <c r="H30" s="614" t="s">
        <v>561</v>
      </c>
      <c r="I30" s="614" t="s">
        <v>561</v>
      </c>
      <c r="J30" s="509" t="s">
        <v>561</v>
      </c>
      <c r="K30" s="509" t="s">
        <v>561</v>
      </c>
      <c r="L30" s="509" t="s">
        <v>561</v>
      </c>
      <c r="M30" s="524" t="s">
        <v>561</v>
      </c>
      <c r="N30" s="524" t="s">
        <v>561</v>
      </c>
      <c r="O30" s="509" t="s">
        <v>561</v>
      </c>
      <c r="P30" s="614" t="s">
        <v>561</v>
      </c>
      <c r="Q30" s="614" t="s">
        <v>561</v>
      </c>
      <c r="R30" s="509" t="s">
        <v>561</v>
      </c>
      <c r="S30" s="509" t="s">
        <v>561</v>
      </c>
      <c r="T30" s="509" t="s">
        <v>561</v>
      </c>
      <c r="U30" s="509" t="s">
        <v>561</v>
      </c>
      <c r="V30" s="509" t="s">
        <v>561</v>
      </c>
      <c r="W30" s="509" t="s">
        <v>561</v>
      </c>
      <c r="X30" s="509" t="s">
        <v>561</v>
      </c>
      <c r="Y30" s="509" t="s">
        <v>561</v>
      </c>
      <c r="Z30" s="509" t="s">
        <v>561</v>
      </c>
      <c r="AA30" s="509" t="s">
        <v>561</v>
      </c>
      <c r="AB30" s="509" t="s">
        <v>561</v>
      </c>
      <c r="AC30" s="524" t="s">
        <v>651</v>
      </c>
      <c r="AD30" s="524" t="s">
        <v>651</v>
      </c>
      <c r="AE30" s="509" t="s">
        <v>651</v>
      </c>
      <c r="AF30" s="614" t="s">
        <v>651</v>
      </c>
      <c r="AG30" s="614" t="s">
        <v>651</v>
      </c>
      <c r="AH30" s="509" t="s">
        <v>651</v>
      </c>
      <c r="CS30" s="440"/>
      <c r="CT30" s="440"/>
      <c r="CU30" s="440"/>
      <c r="CV30" s="440"/>
      <c r="CW30" s="440"/>
      <c r="CX30" s="440"/>
      <c r="CY30" s="440"/>
      <c r="CZ30" s="440"/>
      <c r="DA30" s="440"/>
      <c r="DB30" s="440"/>
      <c r="DC30" s="440"/>
      <c r="DD30" s="440"/>
      <c r="DE30" s="440"/>
      <c r="DF30" s="440"/>
      <c r="DG30" s="440"/>
      <c r="DH30" s="440"/>
      <c r="DI30" s="440"/>
      <c r="DJ30" s="440"/>
      <c r="DK30" s="440"/>
      <c r="DL30" s="440"/>
      <c r="DM30" s="440"/>
      <c r="DN30" s="440"/>
      <c r="DO30" s="440"/>
      <c r="DP30" s="440"/>
      <c r="DQ30" s="440"/>
      <c r="DR30" s="440"/>
      <c r="DS30" s="440"/>
      <c r="DT30" s="440"/>
      <c r="DU30" s="440"/>
      <c r="DV30" s="440"/>
      <c r="DW30" s="440"/>
      <c r="DX30" s="440"/>
      <c r="DY30" s="440"/>
      <c r="DZ30" s="440"/>
      <c r="EA30" s="440"/>
      <c r="EB30" s="440"/>
      <c r="EC30" s="440"/>
      <c r="ED30" s="440"/>
      <c r="EE30" s="440"/>
      <c r="EF30" s="440"/>
      <c r="EG30" s="440"/>
      <c r="EH30" s="440"/>
      <c r="EI30" s="440"/>
      <c r="EJ30" s="440"/>
      <c r="EK30" s="440"/>
      <c r="EL30" s="440"/>
      <c r="EM30" s="440"/>
      <c r="EN30" s="440"/>
      <c r="EO30" s="440"/>
      <c r="EP30" s="440"/>
      <c r="EQ30" s="440"/>
      <c r="ER30" s="440"/>
      <c r="ES30" s="440"/>
      <c r="ET30" s="440"/>
      <c r="EU30" s="440"/>
      <c r="EV30" s="440"/>
      <c r="EW30" s="440"/>
      <c r="EX30" s="440"/>
      <c r="EY30" s="440"/>
      <c r="EZ30" s="440"/>
      <c r="FA30" s="440"/>
      <c r="FB30" s="440"/>
      <c r="FC30" s="440"/>
    </row>
    <row r="31" spans="1:159" s="291" customFormat="1" ht="9.75" customHeight="1" x14ac:dyDescent="0.15">
      <c r="A31" s="774" t="s">
        <v>146</v>
      </c>
      <c r="B31" s="775"/>
      <c r="C31" s="294" t="s">
        <v>204</v>
      </c>
      <c r="D31" s="295"/>
      <c r="E31" s="524">
        <v>0.15928307</v>
      </c>
      <c r="F31" s="524">
        <v>0.12842513999999999</v>
      </c>
      <c r="G31" s="509">
        <v>0.20758318000000001</v>
      </c>
      <c r="H31" s="614">
        <v>0.54376226000000005</v>
      </c>
      <c r="I31" s="614">
        <v>0.37252460999999998</v>
      </c>
      <c r="J31" s="509">
        <v>0.23021325000000001</v>
      </c>
      <c r="K31" s="509">
        <v>0.24632498999999999</v>
      </c>
      <c r="L31" s="509">
        <v>0.22043713000000001</v>
      </c>
      <c r="M31" s="524">
        <v>0.11330036</v>
      </c>
      <c r="N31" s="524">
        <v>0.11367644</v>
      </c>
      <c r="O31" s="509">
        <v>0.12612793</v>
      </c>
      <c r="P31" s="614">
        <v>0.13760891</v>
      </c>
      <c r="Q31" s="614">
        <v>8.4230237999999999E-2</v>
      </c>
      <c r="R31" s="509">
        <v>0.10961851</v>
      </c>
      <c r="S31" s="509">
        <v>2.1123151999999999E-2</v>
      </c>
      <c r="T31" s="509">
        <v>6.0208471999999999E-2</v>
      </c>
      <c r="U31" s="509">
        <v>6.2453685000000002E-2</v>
      </c>
      <c r="V31" s="509">
        <v>4.3000655999999998E-2</v>
      </c>
      <c r="W31" s="509">
        <v>4.1628265999999997E-2</v>
      </c>
      <c r="X31" s="509">
        <v>2.0212278E-2</v>
      </c>
      <c r="Y31" s="509">
        <v>1.5938583999999999E-2</v>
      </c>
      <c r="Z31" s="509">
        <v>5.0363011999999999E-2</v>
      </c>
      <c r="AA31" s="509">
        <v>6.0134782999999997E-2</v>
      </c>
      <c r="AB31" s="509">
        <v>2.4058284999999999E-2</v>
      </c>
      <c r="AC31" s="524">
        <v>4.8595354000000004</v>
      </c>
      <c r="AD31" s="524">
        <v>4.6271240999999996</v>
      </c>
      <c r="AE31" s="509">
        <v>2.5001145</v>
      </c>
      <c r="AF31" s="614">
        <v>7.4174541999999999</v>
      </c>
      <c r="AG31" s="614">
        <v>10.350129000000001</v>
      </c>
      <c r="AH31" s="509">
        <v>5.1275931000000003</v>
      </c>
      <c r="CS31" s="440"/>
      <c r="CT31" s="440"/>
      <c r="CU31" s="440"/>
      <c r="CV31" s="440"/>
      <c r="CW31" s="440"/>
      <c r="CX31" s="440"/>
      <c r="CY31" s="440"/>
      <c r="CZ31" s="440"/>
      <c r="DA31" s="440"/>
      <c r="DB31" s="440"/>
      <c r="DC31" s="440"/>
      <c r="DD31" s="440"/>
      <c r="DE31" s="440"/>
      <c r="DF31" s="440"/>
      <c r="DG31" s="440"/>
      <c r="DH31" s="440"/>
      <c r="DI31" s="440"/>
      <c r="DJ31" s="440"/>
      <c r="DK31" s="440"/>
      <c r="DL31" s="440"/>
      <c r="DM31" s="440"/>
      <c r="DN31" s="440"/>
      <c r="DO31" s="440"/>
      <c r="DP31" s="440"/>
      <c r="DQ31" s="440"/>
      <c r="DR31" s="440"/>
      <c r="DS31" s="440"/>
      <c r="DT31" s="440"/>
      <c r="DU31" s="440"/>
      <c r="DV31" s="440"/>
      <c r="DW31" s="440"/>
      <c r="DX31" s="440"/>
      <c r="DY31" s="440"/>
      <c r="DZ31" s="440"/>
      <c r="EA31" s="440"/>
      <c r="EB31" s="440"/>
      <c r="EC31" s="440"/>
      <c r="ED31" s="440"/>
      <c r="EE31" s="440"/>
      <c r="EF31" s="440"/>
      <c r="EG31" s="440"/>
      <c r="EH31" s="440"/>
      <c r="EI31" s="440"/>
      <c r="EJ31" s="440"/>
      <c r="EK31" s="440"/>
      <c r="EL31" s="440"/>
      <c r="EM31" s="440"/>
      <c r="EN31" s="440"/>
      <c r="EO31" s="440"/>
      <c r="EP31" s="440"/>
      <c r="EQ31" s="440"/>
      <c r="ER31" s="440"/>
      <c r="ES31" s="440"/>
      <c r="ET31" s="440"/>
      <c r="EU31" s="440"/>
      <c r="EV31" s="440"/>
      <c r="EW31" s="440"/>
      <c r="EX31" s="440"/>
      <c r="EY31" s="440"/>
      <c r="EZ31" s="440"/>
      <c r="FA31" s="440"/>
      <c r="FB31" s="440"/>
      <c r="FC31" s="440"/>
    </row>
    <row r="32" spans="1:159" s="291" customFormat="1" ht="9.75" customHeight="1" x14ac:dyDescent="0.15">
      <c r="A32" s="776"/>
      <c r="B32" s="777"/>
      <c r="C32" s="296" t="s">
        <v>205</v>
      </c>
      <c r="D32" s="297"/>
      <c r="E32" s="523">
        <v>1.4000687E-2</v>
      </c>
      <c r="F32" s="523">
        <v>2.9057525000000001E-2</v>
      </c>
      <c r="G32" s="510">
        <v>2.5902095999999999E-2</v>
      </c>
      <c r="H32" s="616">
        <v>1.4887407E-2</v>
      </c>
      <c r="I32" s="616">
        <v>1.7064548999999998E-2</v>
      </c>
      <c r="J32" s="510">
        <v>2.1422268000000001E-2</v>
      </c>
      <c r="K32" s="510">
        <v>2.8664976000000002E-2</v>
      </c>
      <c r="L32" s="510">
        <v>1.3959093000000001E-2</v>
      </c>
      <c r="M32" s="523">
        <v>1.4302977999999999E-2</v>
      </c>
      <c r="N32" s="523">
        <v>1.7467964999999998E-2</v>
      </c>
      <c r="O32" s="510">
        <v>2.8171689999999999E-2</v>
      </c>
      <c r="P32" s="616">
        <v>1.2528255E-2</v>
      </c>
      <c r="Q32" s="616">
        <v>2.0244432E-2</v>
      </c>
      <c r="R32" s="510">
        <v>1.8784821E-2</v>
      </c>
      <c r="S32" s="510">
        <v>5.1220440999999998E-2</v>
      </c>
      <c r="T32" s="510">
        <v>4.4904570999999997E-2</v>
      </c>
      <c r="U32" s="510">
        <v>4.8691646999999998E-2</v>
      </c>
      <c r="V32" s="510">
        <v>4.7624369E-2</v>
      </c>
      <c r="W32" s="510">
        <v>4.4507493000000002E-2</v>
      </c>
      <c r="X32" s="510">
        <v>6.1587564999999997E-2</v>
      </c>
      <c r="Y32" s="510">
        <v>4.8416025000000001E-2</v>
      </c>
      <c r="Z32" s="510">
        <v>4.2542701000000002E-2</v>
      </c>
      <c r="AA32" s="510">
        <v>4.5932209000000002E-2</v>
      </c>
      <c r="AB32" s="510">
        <v>8.4545190000000006E-2</v>
      </c>
      <c r="AC32" s="523">
        <v>1.2394466999999999E-2</v>
      </c>
      <c r="AD32" s="523">
        <v>1.9705846999999999E-2</v>
      </c>
      <c r="AE32" s="510">
        <v>9.6967479000000002E-3</v>
      </c>
      <c r="AF32" s="616">
        <v>1.1267569E-2</v>
      </c>
      <c r="AG32" s="616">
        <v>1.6306190000000002E-2</v>
      </c>
      <c r="AH32" s="510">
        <v>1.1919150999999999E-2</v>
      </c>
      <c r="CS32" s="440"/>
      <c r="CT32" s="440"/>
      <c r="CU32" s="440"/>
      <c r="CV32" s="440"/>
      <c r="CW32" s="440"/>
      <c r="CX32" s="440"/>
      <c r="CY32" s="440"/>
      <c r="CZ32" s="440"/>
      <c r="DA32" s="440"/>
      <c r="DB32" s="440"/>
      <c r="DC32" s="440"/>
      <c r="DD32" s="440"/>
      <c r="DE32" s="440"/>
      <c r="DF32" s="440"/>
      <c r="DG32" s="440"/>
      <c r="DH32" s="440"/>
      <c r="DI32" s="440"/>
      <c r="DJ32" s="440"/>
      <c r="DK32" s="440"/>
      <c r="DL32" s="440"/>
      <c r="DM32" s="440"/>
      <c r="DN32" s="440"/>
      <c r="DO32" s="440"/>
      <c r="DP32" s="440"/>
      <c r="DQ32" s="440"/>
      <c r="DR32" s="440"/>
      <c r="DS32" s="440"/>
      <c r="DT32" s="440"/>
      <c r="DU32" s="440"/>
      <c r="DV32" s="440"/>
      <c r="DW32" s="440"/>
      <c r="DX32" s="440"/>
      <c r="DY32" s="440"/>
      <c r="DZ32" s="440"/>
      <c r="EA32" s="440"/>
      <c r="EB32" s="440"/>
      <c r="EC32" s="440"/>
      <c r="ED32" s="440"/>
      <c r="EE32" s="440"/>
      <c r="EF32" s="440"/>
      <c r="EG32" s="440"/>
      <c r="EH32" s="440"/>
      <c r="EI32" s="440"/>
      <c r="EJ32" s="440"/>
      <c r="EK32" s="440"/>
      <c r="EL32" s="440"/>
      <c r="EM32" s="440"/>
      <c r="EN32" s="440"/>
      <c r="EO32" s="440"/>
      <c r="EP32" s="440"/>
      <c r="EQ32" s="440"/>
      <c r="ER32" s="440"/>
      <c r="ES32" s="440"/>
      <c r="ET32" s="440"/>
      <c r="EU32" s="440"/>
      <c r="EV32" s="440"/>
      <c r="EW32" s="440"/>
      <c r="EX32" s="440"/>
      <c r="EY32" s="440"/>
      <c r="EZ32" s="440"/>
      <c r="FA32" s="440"/>
      <c r="FB32" s="440"/>
      <c r="FC32" s="440"/>
    </row>
    <row r="33" spans="1:159" s="291" customFormat="1" ht="9.75" hidden="1" customHeight="1" x14ac:dyDescent="0.15">
      <c r="A33" s="292"/>
      <c r="B33" s="269"/>
      <c r="C33" s="294"/>
      <c r="D33" s="295"/>
      <c r="E33" s="509"/>
      <c r="F33" s="524"/>
      <c r="G33" s="509"/>
      <c r="H33" s="614"/>
      <c r="I33" s="614"/>
      <c r="J33" s="509"/>
      <c r="K33" s="509"/>
      <c r="L33" s="509"/>
      <c r="M33" s="509"/>
      <c r="N33" s="524"/>
      <c r="O33" s="509"/>
      <c r="P33" s="614"/>
      <c r="Q33" s="614"/>
      <c r="R33" s="509"/>
      <c r="S33" s="509"/>
      <c r="T33" s="509"/>
      <c r="U33" s="509"/>
      <c r="V33" s="509"/>
      <c r="W33" s="509"/>
      <c r="X33" s="509"/>
      <c r="Y33" s="509"/>
      <c r="Z33" s="509"/>
      <c r="AA33" s="509"/>
      <c r="AB33" s="509"/>
      <c r="AC33" s="509"/>
      <c r="AD33" s="524"/>
      <c r="AE33" s="509"/>
      <c r="AF33" s="614"/>
      <c r="AG33" s="614"/>
      <c r="AH33" s="509"/>
      <c r="CS33" s="440"/>
      <c r="CT33" s="440"/>
      <c r="CU33" s="440"/>
      <c r="CV33" s="440"/>
      <c r="CW33" s="440"/>
      <c r="CX33" s="440"/>
      <c r="CY33" s="440"/>
      <c r="CZ33" s="440"/>
      <c r="DA33" s="440"/>
      <c r="DB33" s="440"/>
      <c r="DC33" s="440"/>
      <c r="DD33" s="440"/>
      <c r="DE33" s="440"/>
      <c r="DF33" s="440"/>
      <c r="DG33" s="440"/>
      <c r="DH33" s="440"/>
      <c r="DI33" s="440"/>
      <c r="DJ33" s="440"/>
      <c r="DK33" s="440"/>
      <c r="DL33" s="440"/>
      <c r="DM33" s="440"/>
      <c r="DN33" s="440"/>
      <c r="DO33" s="440"/>
      <c r="DP33" s="440"/>
      <c r="DQ33" s="440"/>
      <c r="DR33" s="440"/>
      <c r="DS33" s="440"/>
      <c r="DT33" s="440"/>
      <c r="DU33" s="440"/>
      <c r="DV33" s="440"/>
      <c r="DW33" s="440"/>
      <c r="DX33" s="440"/>
      <c r="DY33" s="440"/>
      <c r="DZ33" s="440"/>
      <c r="EA33" s="440"/>
      <c r="EB33" s="440"/>
      <c r="EC33" s="440"/>
      <c r="ED33" s="440"/>
      <c r="EE33" s="440"/>
      <c r="EF33" s="440"/>
      <c r="EG33" s="440"/>
      <c r="EH33" s="440"/>
      <c r="EI33" s="440"/>
      <c r="EJ33" s="440"/>
      <c r="EK33" s="440"/>
      <c r="EL33" s="440"/>
      <c r="EM33" s="440"/>
      <c r="EN33" s="440"/>
      <c r="EO33" s="440"/>
      <c r="EP33" s="440"/>
      <c r="EQ33" s="440"/>
      <c r="ER33" s="440"/>
      <c r="ES33" s="440"/>
      <c r="ET33" s="440"/>
      <c r="EU33" s="440"/>
      <c r="EV33" s="440"/>
      <c r="EW33" s="440"/>
      <c r="EX33" s="440"/>
      <c r="EY33" s="440"/>
      <c r="EZ33" s="440"/>
      <c r="FA33" s="440"/>
      <c r="FB33" s="440"/>
      <c r="FC33" s="440"/>
    </row>
    <row r="34" spans="1:159" s="291" customFormat="1" ht="9.75" hidden="1" customHeight="1" x14ac:dyDescent="0.15">
      <c r="A34" s="292"/>
      <c r="B34" s="269"/>
      <c r="C34" s="294"/>
      <c r="D34" s="295"/>
      <c r="E34" s="509"/>
      <c r="F34" s="524"/>
      <c r="G34" s="509"/>
      <c r="H34" s="614"/>
      <c r="I34" s="614"/>
      <c r="J34" s="509"/>
      <c r="K34" s="509"/>
      <c r="L34" s="509"/>
      <c r="M34" s="509"/>
      <c r="N34" s="524"/>
      <c r="O34" s="509"/>
      <c r="P34" s="614"/>
      <c r="Q34" s="614"/>
      <c r="R34" s="509"/>
      <c r="S34" s="509"/>
      <c r="T34" s="509" t="s">
        <v>638</v>
      </c>
      <c r="U34" s="509" t="s">
        <v>638</v>
      </c>
      <c r="V34" s="509" t="s">
        <v>638</v>
      </c>
      <c r="W34" s="509" t="s">
        <v>638</v>
      </c>
      <c r="X34" s="509"/>
      <c r="Y34" s="509" t="s">
        <v>638</v>
      </c>
      <c r="Z34" s="509" t="s">
        <v>638</v>
      </c>
      <c r="AA34" s="509" t="s">
        <v>638</v>
      </c>
      <c r="AB34" s="509" t="s">
        <v>638</v>
      </c>
      <c r="AC34" s="509"/>
      <c r="AD34" s="524"/>
      <c r="AE34" s="509"/>
      <c r="AF34" s="614"/>
      <c r="AG34" s="614"/>
      <c r="AH34" s="509"/>
      <c r="CS34" s="440"/>
      <c r="CT34" s="440"/>
      <c r="CU34" s="440"/>
      <c r="CV34" s="440"/>
      <c r="CW34" s="440"/>
      <c r="CX34" s="440"/>
      <c r="CY34" s="440"/>
      <c r="CZ34" s="440"/>
      <c r="DA34" s="440"/>
      <c r="DB34" s="440"/>
      <c r="DC34" s="440"/>
      <c r="DD34" s="440"/>
      <c r="DE34" s="440"/>
      <c r="DF34" s="440"/>
      <c r="DG34" s="440"/>
      <c r="DH34" s="440"/>
      <c r="DI34" s="440"/>
      <c r="DJ34" s="440"/>
      <c r="DK34" s="440"/>
      <c r="DL34" s="440"/>
      <c r="DM34" s="440"/>
      <c r="DN34" s="440"/>
      <c r="DO34" s="440"/>
      <c r="DP34" s="440"/>
      <c r="DQ34" s="440"/>
      <c r="DR34" s="440"/>
      <c r="DS34" s="440"/>
      <c r="DT34" s="440"/>
      <c r="DU34" s="440"/>
      <c r="DV34" s="440"/>
      <c r="DW34" s="440"/>
      <c r="DX34" s="440"/>
      <c r="DY34" s="440"/>
      <c r="DZ34" s="440"/>
      <c r="EA34" s="440"/>
      <c r="EB34" s="440"/>
      <c r="EC34" s="440"/>
      <c r="ED34" s="440"/>
      <c r="EE34" s="440"/>
      <c r="EF34" s="440"/>
      <c r="EG34" s="440"/>
      <c r="EH34" s="440"/>
      <c r="EI34" s="440"/>
      <c r="EJ34" s="440"/>
      <c r="EK34" s="440"/>
      <c r="EL34" s="440"/>
      <c r="EM34" s="440"/>
      <c r="EN34" s="440"/>
      <c r="EO34" s="440"/>
      <c r="EP34" s="440"/>
      <c r="EQ34" s="440"/>
      <c r="ER34" s="440"/>
      <c r="ES34" s="440"/>
      <c r="ET34" s="440"/>
      <c r="EU34" s="440"/>
      <c r="EV34" s="440"/>
      <c r="EW34" s="440"/>
      <c r="EX34" s="440"/>
      <c r="EY34" s="440"/>
      <c r="EZ34" s="440"/>
      <c r="FA34" s="440"/>
      <c r="FB34" s="440"/>
      <c r="FC34" s="440"/>
    </row>
    <row r="35" spans="1:159" s="291" customFormat="1" ht="9.75" customHeight="1" x14ac:dyDescent="0.15">
      <c r="A35" s="774" t="s">
        <v>319</v>
      </c>
      <c r="B35" s="775"/>
      <c r="C35" s="294" t="s">
        <v>204</v>
      </c>
      <c r="D35" s="295"/>
      <c r="E35" s="509"/>
      <c r="F35" s="524"/>
      <c r="G35" s="509"/>
      <c r="H35" s="509"/>
      <c r="I35" s="614"/>
      <c r="J35" s="509"/>
      <c r="K35" s="509"/>
      <c r="L35" s="509"/>
      <c r="M35" s="509"/>
      <c r="N35" s="524"/>
      <c r="O35" s="509"/>
      <c r="P35" s="509"/>
      <c r="Q35" s="614"/>
      <c r="R35" s="509"/>
      <c r="S35" s="509"/>
      <c r="T35" s="509">
        <v>1.0047881999999999</v>
      </c>
      <c r="U35" s="509">
        <v>1.0050463999999999</v>
      </c>
      <c r="V35" s="509">
        <v>1.0035495000000001</v>
      </c>
      <c r="W35" s="509">
        <v>1.0038267000000001</v>
      </c>
      <c r="X35" s="509">
        <v>1.004</v>
      </c>
      <c r="Y35" s="509">
        <v>1.0029423</v>
      </c>
      <c r="Z35" s="509">
        <v>1.0019476</v>
      </c>
      <c r="AA35" s="509">
        <v>1.0035788000000001</v>
      </c>
      <c r="AB35" s="509">
        <v>1.0037373999999999</v>
      </c>
      <c r="AC35" s="509"/>
      <c r="AD35" s="524"/>
      <c r="AE35" s="509"/>
      <c r="AF35" s="509"/>
      <c r="AG35" s="614"/>
      <c r="AH35" s="509"/>
      <c r="CS35" s="440"/>
      <c r="CT35" s="440"/>
      <c r="CU35" s="440"/>
      <c r="CV35" s="440"/>
      <c r="CW35" s="440"/>
      <c r="CX35" s="440"/>
      <c r="CY35" s="440"/>
      <c r="CZ35" s="440"/>
      <c r="DA35" s="440"/>
      <c r="DB35" s="440"/>
      <c r="DC35" s="440"/>
      <c r="DD35" s="440"/>
      <c r="DE35" s="440"/>
      <c r="DF35" s="440"/>
      <c r="DG35" s="440"/>
      <c r="DH35" s="440"/>
      <c r="DI35" s="440"/>
      <c r="DJ35" s="440"/>
      <c r="DK35" s="440"/>
      <c r="DL35" s="440"/>
      <c r="DM35" s="440"/>
      <c r="DN35" s="440"/>
      <c r="DO35" s="440"/>
      <c r="DP35" s="440"/>
      <c r="DQ35" s="440"/>
      <c r="DR35" s="440"/>
      <c r="DS35" s="440"/>
      <c r="DT35" s="440"/>
      <c r="DU35" s="440"/>
      <c r="DV35" s="440"/>
      <c r="DW35" s="440"/>
      <c r="DX35" s="440"/>
      <c r="DY35" s="440"/>
      <c r="DZ35" s="440"/>
      <c r="EA35" s="440"/>
      <c r="EB35" s="440"/>
      <c r="EC35" s="440"/>
      <c r="ED35" s="440"/>
      <c r="EE35" s="440"/>
      <c r="EF35" s="440"/>
      <c r="EG35" s="440"/>
      <c r="EH35" s="440"/>
      <c r="EI35" s="440"/>
      <c r="EJ35" s="440"/>
      <c r="EK35" s="440"/>
      <c r="EL35" s="440"/>
      <c r="EM35" s="440"/>
      <c r="EN35" s="440"/>
      <c r="EO35" s="440"/>
      <c r="EP35" s="440"/>
      <c r="EQ35" s="440"/>
      <c r="ER35" s="440"/>
      <c r="ES35" s="440"/>
      <c r="ET35" s="440"/>
      <c r="EU35" s="440"/>
      <c r="EV35" s="440"/>
      <c r="EW35" s="440"/>
      <c r="EX35" s="440"/>
      <c r="EY35" s="440"/>
      <c r="EZ35" s="440"/>
      <c r="FA35" s="440"/>
      <c r="FB35" s="440"/>
      <c r="FC35" s="440"/>
    </row>
    <row r="36" spans="1:159" s="291" customFormat="1" ht="9.75" customHeight="1" x14ac:dyDescent="0.15">
      <c r="A36" s="776"/>
      <c r="B36" s="777"/>
      <c r="C36" s="296" t="s">
        <v>205</v>
      </c>
      <c r="D36" s="297"/>
      <c r="E36" s="510"/>
      <c r="F36" s="523"/>
      <c r="G36" s="510"/>
      <c r="H36" s="510"/>
      <c r="I36" s="616"/>
      <c r="J36" s="510"/>
      <c r="K36" s="510"/>
      <c r="L36" s="510"/>
      <c r="M36" s="510"/>
      <c r="N36" s="523"/>
      <c r="O36" s="510"/>
      <c r="P36" s="510"/>
      <c r="Q36" s="616"/>
      <c r="R36" s="510"/>
      <c r="S36" s="510"/>
      <c r="T36" s="510">
        <v>1.6157670999999998E-2</v>
      </c>
      <c r="U36" s="510">
        <v>1.3581060000000001E-2</v>
      </c>
      <c r="V36" s="510">
        <v>1.111476E-2</v>
      </c>
      <c r="W36" s="510">
        <v>1.6851723999999998E-2</v>
      </c>
      <c r="X36" s="510">
        <v>0.02</v>
      </c>
      <c r="Y36" s="510">
        <v>9.1313768999999999E-3</v>
      </c>
      <c r="Z36" s="510">
        <v>1.2576644E-2</v>
      </c>
      <c r="AA36" s="510">
        <v>1.9534389999999999E-2</v>
      </c>
      <c r="AB36" s="510">
        <v>1.458977E-2</v>
      </c>
      <c r="AC36" s="510"/>
      <c r="AD36" s="523"/>
      <c r="AE36" s="510"/>
      <c r="AF36" s="510"/>
      <c r="AG36" s="616"/>
      <c r="AH36" s="510"/>
      <c r="CS36" s="440"/>
      <c r="CT36" s="440"/>
      <c r="CU36" s="440"/>
      <c r="CV36" s="440"/>
      <c r="CW36" s="440"/>
      <c r="CX36" s="440"/>
      <c r="CY36" s="440"/>
      <c r="CZ36" s="440"/>
      <c r="DA36" s="440"/>
      <c r="DB36" s="440"/>
      <c r="DC36" s="440"/>
      <c r="DD36" s="440"/>
      <c r="DE36" s="440"/>
      <c r="DF36" s="440"/>
      <c r="DG36" s="440"/>
      <c r="DH36" s="440"/>
      <c r="DI36" s="440"/>
      <c r="DJ36" s="440"/>
      <c r="DK36" s="440"/>
      <c r="DL36" s="440"/>
      <c r="DM36" s="440"/>
      <c r="DN36" s="440"/>
      <c r="DO36" s="440"/>
      <c r="DP36" s="440"/>
      <c r="DQ36" s="440"/>
      <c r="DR36" s="440"/>
      <c r="DS36" s="440"/>
      <c r="DT36" s="440"/>
      <c r="DU36" s="440"/>
      <c r="DV36" s="440"/>
      <c r="DW36" s="440"/>
      <c r="DX36" s="440"/>
      <c r="DY36" s="440"/>
      <c r="DZ36" s="440"/>
      <c r="EA36" s="440"/>
      <c r="EB36" s="440"/>
      <c r="EC36" s="440"/>
      <c r="ED36" s="440"/>
      <c r="EE36" s="440"/>
      <c r="EF36" s="440"/>
      <c r="EG36" s="440"/>
      <c r="EH36" s="440"/>
      <c r="EI36" s="440"/>
      <c r="EJ36" s="440"/>
      <c r="EK36" s="440"/>
      <c r="EL36" s="440"/>
      <c r="EM36" s="440"/>
      <c r="EN36" s="440"/>
      <c r="EO36" s="440"/>
      <c r="EP36" s="440"/>
      <c r="EQ36" s="440"/>
      <c r="ER36" s="440"/>
      <c r="ES36" s="440"/>
      <c r="ET36" s="440"/>
      <c r="EU36" s="440"/>
      <c r="EV36" s="440"/>
      <c r="EW36" s="440"/>
      <c r="EX36" s="440"/>
      <c r="EY36" s="440"/>
      <c r="EZ36" s="440"/>
      <c r="FA36" s="440"/>
      <c r="FB36" s="440"/>
      <c r="FC36" s="440"/>
    </row>
    <row r="37" spans="1:159" s="291" customFormat="1" ht="9.75" hidden="1" customHeight="1" x14ac:dyDescent="0.15">
      <c r="A37" s="292"/>
      <c r="B37" s="269"/>
      <c r="C37" s="294"/>
      <c r="D37" s="295"/>
      <c r="E37" s="509"/>
      <c r="F37" s="524"/>
      <c r="G37" s="509"/>
      <c r="H37" s="509"/>
      <c r="I37" s="614"/>
      <c r="J37" s="509"/>
      <c r="K37" s="509"/>
      <c r="L37" s="509"/>
      <c r="M37" s="509"/>
      <c r="N37" s="524"/>
      <c r="O37" s="509"/>
      <c r="P37" s="509"/>
      <c r="Q37" s="614"/>
      <c r="R37" s="509"/>
      <c r="S37" s="509"/>
      <c r="T37" s="509"/>
      <c r="U37" s="509"/>
      <c r="V37" s="509"/>
      <c r="W37" s="509"/>
      <c r="X37" s="509"/>
      <c r="Y37" s="509"/>
      <c r="Z37" s="509"/>
      <c r="AA37" s="509"/>
      <c r="AB37" s="509"/>
      <c r="AC37" s="509"/>
      <c r="AD37" s="524"/>
      <c r="AE37" s="509"/>
      <c r="AF37" s="509"/>
      <c r="AG37" s="614"/>
      <c r="AH37" s="509"/>
      <c r="CS37" s="440"/>
      <c r="CT37" s="440"/>
      <c r="CU37" s="440"/>
      <c r="CV37" s="440"/>
      <c r="CW37" s="440"/>
      <c r="CX37" s="440"/>
      <c r="CY37" s="440"/>
      <c r="CZ37" s="440"/>
      <c r="DA37" s="440"/>
      <c r="DB37" s="440"/>
      <c r="DC37" s="440"/>
      <c r="DD37" s="440"/>
      <c r="DE37" s="440"/>
      <c r="DF37" s="440"/>
      <c r="DG37" s="440"/>
      <c r="DH37" s="440"/>
      <c r="DI37" s="440"/>
      <c r="DJ37" s="440"/>
      <c r="DK37" s="440"/>
      <c r="DL37" s="440"/>
      <c r="DM37" s="440"/>
      <c r="DN37" s="440"/>
      <c r="DO37" s="440"/>
      <c r="DP37" s="440"/>
      <c r="DQ37" s="440"/>
      <c r="DR37" s="440"/>
      <c r="DS37" s="440"/>
      <c r="DT37" s="440"/>
      <c r="DU37" s="440"/>
      <c r="DV37" s="440"/>
      <c r="DW37" s="440"/>
      <c r="DX37" s="440"/>
      <c r="DY37" s="440"/>
      <c r="DZ37" s="440"/>
      <c r="EA37" s="440"/>
      <c r="EB37" s="440"/>
      <c r="EC37" s="440"/>
      <c r="ED37" s="440"/>
      <c r="EE37" s="440"/>
      <c r="EF37" s="440"/>
      <c r="EG37" s="440"/>
      <c r="EH37" s="440"/>
      <c r="EI37" s="440"/>
      <c r="EJ37" s="440"/>
      <c r="EK37" s="440"/>
      <c r="EL37" s="440"/>
      <c r="EM37" s="440"/>
      <c r="EN37" s="440"/>
      <c r="EO37" s="440"/>
      <c r="EP37" s="440"/>
      <c r="EQ37" s="440"/>
      <c r="ER37" s="440"/>
      <c r="ES37" s="440"/>
      <c r="ET37" s="440"/>
      <c r="EU37" s="440"/>
      <c r="EV37" s="440"/>
      <c r="EW37" s="440"/>
      <c r="EX37" s="440"/>
      <c r="EY37" s="440"/>
      <c r="EZ37" s="440"/>
      <c r="FA37" s="440"/>
      <c r="FB37" s="440"/>
      <c r="FC37" s="440"/>
    </row>
    <row r="38" spans="1:159" s="312" customFormat="1" ht="12" customHeight="1" x14ac:dyDescent="0.15">
      <c r="A38" s="308"/>
      <c r="B38" s="309"/>
      <c r="C38" s="310"/>
      <c r="D38" s="311"/>
      <c r="E38" s="598" t="s">
        <v>562</v>
      </c>
      <c r="F38" s="599" t="s">
        <v>562</v>
      </c>
      <c r="G38" s="599" t="s">
        <v>562</v>
      </c>
      <c r="H38" s="599" t="s">
        <v>562</v>
      </c>
      <c r="I38" s="599" t="s">
        <v>562</v>
      </c>
      <c r="J38" s="599" t="s">
        <v>562</v>
      </c>
      <c r="K38" s="599" t="s">
        <v>562</v>
      </c>
      <c r="L38" s="599" t="s">
        <v>562</v>
      </c>
      <c r="M38" s="696" t="s">
        <v>562</v>
      </c>
      <c r="N38" s="511" t="s">
        <v>562</v>
      </c>
      <c r="O38" s="511" t="s">
        <v>562</v>
      </c>
      <c r="P38" s="511" t="s">
        <v>562</v>
      </c>
      <c r="Q38" s="511" t="s">
        <v>562</v>
      </c>
      <c r="R38" s="511" t="s">
        <v>562</v>
      </c>
      <c r="S38" s="511" t="s">
        <v>562</v>
      </c>
      <c r="T38" s="511" t="s">
        <v>562</v>
      </c>
      <c r="U38" s="511" t="s">
        <v>562</v>
      </c>
      <c r="V38" s="511" t="s">
        <v>562</v>
      </c>
      <c r="W38" s="511" t="s">
        <v>562</v>
      </c>
      <c r="X38" s="511" t="s">
        <v>562</v>
      </c>
      <c r="Y38" s="511" t="s">
        <v>562</v>
      </c>
      <c r="Z38" s="511" t="s">
        <v>562</v>
      </c>
      <c r="AA38" s="511" t="s">
        <v>562</v>
      </c>
      <c r="AB38" s="511" t="s">
        <v>562</v>
      </c>
      <c r="AC38" s="696" t="s">
        <v>562</v>
      </c>
      <c r="AD38" s="511" t="s">
        <v>562</v>
      </c>
      <c r="AE38" s="511" t="s">
        <v>562</v>
      </c>
      <c r="AF38" s="511" t="s">
        <v>562</v>
      </c>
      <c r="AG38" s="511" t="s">
        <v>562</v>
      </c>
      <c r="AH38" s="511" t="s">
        <v>562</v>
      </c>
      <c r="CS38" s="441"/>
      <c r="CT38" s="441"/>
      <c r="CU38" s="441"/>
      <c r="CV38" s="441"/>
      <c r="CW38" s="441"/>
      <c r="CX38" s="441"/>
      <c r="CY38" s="441"/>
      <c r="CZ38" s="441"/>
      <c r="DA38" s="441"/>
      <c r="DB38" s="441"/>
      <c r="DC38" s="441"/>
      <c r="DD38" s="441"/>
      <c r="DE38" s="441"/>
      <c r="DF38" s="441"/>
      <c r="DG38" s="441"/>
      <c r="DH38" s="441"/>
      <c r="DI38" s="441"/>
      <c r="DJ38" s="441"/>
      <c r="DK38" s="441"/>
      <c r="DL38" s="441"/>
      <c r="DM38" s="441"/>
      <c r="DN38" s="441"/>
      <c r="DO38" s="441"/>
      <c r="DP38" s="441"/>
      <c r="DQ38" s="441"/>
      <c r="DR38" s="441"/>
      <c r="DS38" s="441"/>
      <c r="DT38" s="441"/>
      <c r="DU38" s="441"/>
      <c r="DV38" s="441"/>
      <c r="DW38" s="441"/>
      <c r="DX38" s="441"/>
      <c r="DY38" s="441"/>
      <c r="DZ38" s="441"/>
      <c r="EA38" s="441"/>
      <c r="EB38" s="441"/>
      <c r="EC38" s="441"/>
      <c r="ED38" s="441"/>
      <c r="EE38" s="441"/>
      <c r="EF38" s="441"/>
      <c r="EG38" s="441"/>
      <c r="EH38" s="441"/>
      <c r="EI38" s="441"/>
      <c r="EJ38" s="441"/>
      <c r="EK38" s="441"/>
      <c r="EL38" s="441"/>
      <c r="EM38" s="441"/>
      <c r="EN38" s="441"/>
      <c r="EO38" s="441"/>
      <c r="EP38" s="441"/>
      <c r="EQ38" s="441"/>
      <c r="ER38" s="441"/>
      <c r="ES38" s="441"/>
      <c r="ET38" s="441"/>
      <c r="EU38" s="441"/>
      <c r="EV38" s="441"/>
      <c r="EW38" s="441"/>
      <c r="EX38" s="441"/>
      <c r="EY38" s="441"/>
      <c r="EZ38" s="441"/>
      <c r="FA38" s="441"/>
      <c r="FB38" s="441"/>
      <c r="FC38" s="441"/>
    </row>
    <row r="39" spans="1:159" s="291" customFormat="1" ht="9.75" customHeight="1" x14ac:dyDescent="0.15">
      <c r="A39" s="774" t="s">
        <v>413</v>
      </c>
      <c r="B39" s="775"/>
      <c r="C39" s="294" t="s">
        <v>204</v>
      </c>
      <c r="D39" s="298"/>
      <c r="E39" s="612">
        <v>0.16952428999999999</v>
      </c>
      <c r="F39" s="612">
        <v>1.3519365E-2</v>
      </c>
      <c r="G39" s="674">
        <v>2.5994960000000001E-2</v>
      </c>
      <c r="H39" s="613">
        <v>3.6643232999999997E-2</v>
      </c>
      <c r="I39" s="613">
        <v>3.5582358000000001E-2</v>
      </c>
      <c r="J39" s="508">
        <v>2.0804237E-2</v>
      </c>
      <c r="K39" s="508">
        <v>4.3490086999999997E-2</v>
      </c>
      <c r="L39" s="508">
        <v>3.2338336000000002E-2</v>
      </c>
      <c r="M39" s="524">
        <v>0.79045991999999998</v>
      </c>
      <c r="N39" s="524">
        <v>0.77189843000000002</v>
      </c>
      <c r="O39" s="509">
        <v>0.8549329</v>
      </c>
      <c r="P39" s="614">
        <v>0.91206452000000005</v>
      </c>
      <c r="Q39" s="614">
        <v>0.52730664000000005</v>
      </c>
      <c r="R39" s="509">
        <v>0.73047388999999996</v>
      </c>
      <c r="S39" s="509">
        <v>0.12089524</v>
      </c>
      <c r="T39" s="509">
        <v>0.32910377000000002</v>
      </c>
      <c r="U39" s="509">
        <v>0.30626136999999998</v>
      </c>
      <c r="V39" s="509">
        <v>0.19138727</v>
      </c>
      <c r="W39" s="509">
        <v>0.11960736</v>
      </c>
      <c r="X39" s="509">
        <v>6.4422110000000005E-2</v>
      </c>
      <c r="Y39" s="509">
        <v>3.9251911E-2</v>
      </c>
      <c r="Z39" s="509">
        <v>0.31844112000000002</v>
      </c>
      <c r="AA39" s="509">
        <v>0.25694291000000002</v>
      </c>
      <c r="AB39" s="509">
        <v>0.11335953999999999</v>
      </c>
      <c r="AC39" s="524">
        <v>1.0924554</v>
      </c>
      <c r="AD39" s="524">
        <v>1.2706052000000001</v>
      </c>
      <c r="AE39" s="509">
        <v>0.59809424</v>
      </c>
      <c r="AF39" s="614">
        <v>1.4742725000000001</v>
      </c>
      <c r="AG39" s="614">
        <v>1.9855891000000001</v>
      </c>
      <c r="AH39" s="509">
        <v>1.1732146999999999</v>
      </c>
      <c r="AK39" s="537"/>
      <c r="AL39" s="537"/>
      <c r="AM39" s="537"/>
      <c r="AN39" s="537"/>
      <c r="AO39" s="537"/>
      <c r="AP39" s="537"/>
      <c r="AQ39" s="537"/>
      <c r="AR39" s="537"/>
      <c r="AS39" s="537"/>
      <c r="AT39" s="537"/>
      <c r="AU39" s="537"/>
      <c r="AV39" s="537"/>
      <c r="AW39" s="537"/>
      <c r="AX39" s="537"/>
      <c r="AY39" s="537"/>
      <c r="AZ39" s="537"/>
      <c r="BA39" s="537"/>
      <c r="BB39" s="537"/>
      <c r="BC39" s="537"/>
      <c r="BD39" s="537"/>
      <c r="BE39" s="537"/>
      <c r="BF39" s="537"/>
      <c r="BG39" s="537"/>
      <c r="BH39" s="537"/>
      <c r="CS39" s="440"/>
      <c r="CT39" s="440"/>
      <c r="CU39" s="440"/>
      <c r="CV39" s="440"/>
      <c r="CW39" s="440"/>
      <c r="CX39" s="440"/>
      <c r="CY39" s="440"/>
      <c r="CZ39" s="440"/>
      <c r="DA39" s="440"/>
      <c r="DB39" s="440"/>
      <c r="DC39" s="440"/>
      <c r="DD39" s="440"/>
      <c r="DE39" s="440"/>
      <c r="DF39" s="440"/>
      <c r="DG39" s="440"/>
      <c r="DH39" s="440"/>
      <c r="DI39" s="440"/>
      <c r="DJ39" s="440"/>
      <c r="DK39" s="440"/>
      <c r="DL39" s="440"/>
      <c r="DM39" s="440"/>
      <c r="DN39" s="440"/>
      <c r="DO39" s="440"/>
      <c r="DP39" s="440"/>
      <c r="DQ39" s="440"/>
      <c r="DR39" s="440"/>
      <c r="DS39" s="440"/>
      <c r="DT39" s="440"/>
      <c r="DU39" s="440"/>
      <c r="DV39" s="440"/>
      <c r="DW39" s="440"/>
      <c r="DX39" s="440"/>
      <c r="DY39" s="440"/>
      <c r="DZ39" s="440"/>
      <c r="EA39" s="440"/>
      <c r="EB39" s="440"/>
      <c r="EC39" s="440"/>
      <c r="ED39" s="440"/>
      <c r="EE39" s="440"/>
      <c r="EF39" s="440"/>
      <c r="EG39" s="440"/>
      <c r="EH39" s="440"/>
      <c r="EI39" s="440"/>
      <c r="EJ39" s="440"/>
      <c r="EK39" s="440"/>
      <c r="EL39" s="440"/>
      <c r="EM39" s="440"/>
      <c r="EN39" s="440"/>
      <c r="EO39" s="440"/>
      <c r="EP39" s="440"/>
      <c r="EQ39" s="440"/>
      <c r="ER39" s="440"/>
      <c r="ES39" s="440"/>
      <c r="ET39" s="440"/>
      <c r="EU39" s="440"/>
      <c r="EV39" s="440"/>
      <c r="EW39" s="440"/>
      <c r="EX39" s="440"/>
      <c r="EY39" s="440"/>
      <c r="EZ39" s="440"/>
      <c r="FA39" s="440"/>
      <c r="FB39" s="440"/>
      <c r="FC39" s="440"/>
    </row>
    <row r="40" spans="1:159" s="291" customFormat="1" ht="9.75" customHeight="1" x14ac:dyDescent="0.15">
      <c r="A40" s="776"/>
      <c r="B40" s="777"/>
      <c r="C40" s="296" t="s">
        <v>205</v>
      </c>
      <c r="D40" s="299"/>
      <c r="E40" s="610">
        <v>8.0097238000000001E-3</v>
      </c>
      <c r="F40" s="610">
        <v>7.9913197000000005E-2</v>
      </c>
      <c r="G40" s="675">
        <v>5.7902244999999998E-2</v>
      </c>
      <c r="H40" s="611">
        <v>3.5000214000000002E-2</v>
      </c>
      <c r="I40" s="611">
        <v>4.7496442999999999E-2</v>
      </c>
      <c r="J40" s="507">
        <v>0.17418370999999999</v>
      </c>
      <c r="K40" s="507">
        <v>2.6557964999999999E-2</v>
      </c>
      <c r="L40" s="507">
        <v>0.14220341</v>
      </c>
      <c r="M40" s="523">
        <v>3.0646873000000001E-3</v>
      </c>
      <c r="N40" s="523">
        <v>2.2326798999999999E-3</v>
      </c>
      <c r="O40" s="510">
        <v>1.418615E-3</v>
      </c>
      <c r="P40" s="616">
        <v>2.3387364999999999E-3</v>
      </c>
      <c r="Q40" s="616">
        <v>2.8801933000000002E-3</v>
      </c>
      <c r="R40" s="510">
        <v>1.3280916E-2</v>
      </c>
      <c r="S40" s="510">
        <v>7.2505636E-3</v>
      </c>
      <c r="T40" s="510">
        <v>5.5602522E-3</v>
      </c>
      <c r="U40" s="510">
        <v>4.9751645000000004E-3</v>
      </c>
      <c r="V40" s="510">
        <v>5.3295067000000002E-3</v>
      </c>
      <c r="W40" s="510">
        <v>1.3056956E-2</v>
      </c>
      <c r="X40" s="510">
        <v>1.1631265E-2</v>
      </c>
      <c r="Y40" s="510">
        <v>1.0444604E-2</v>
      </c>
      <c r="Z40" s="510">
        <v>3.6990572E-3</v>
      </c>
      <c r="AA40" s="510">
        <v>4.0234863000000003E-3</v>
      </c>
      <c r="AB40" s="510">
        <v>9.7511773000000003E-3</v>
      </c>
      <c r="AC40" s="523">
        <v>1.7212509E-3</v>
      </c>
      <c r="AD40" s="523">
        <v>3.0155210000000002E-3</v>
      </c>
      <c r="AE40" s="510">
        <v>3.1030525E-3</v>
      </c>
      <c r="AF40" s="616">
        <v>2.0176394E-3</v>
      </c>
      <c r="AG40" s="616">
        <v>3.8979713000000002E-3</v>
      </c>
      <c r="AH40" s="510">
        <v>2.5594102999999999E-3</v>
      </c>
      <c r="AK40" s="537"/>
      <c r="AL40" s="537"/>
      <c r="AM40" s="537"/>
      <c r="AN40" s="537"/>
      <c r="AO40" s="537"/>
      <c r="AP40" s="537"/>
      <c r="AQ40" s="537"/>
      <c r="AR40" s="537"/>
      <c r="AS40" s="537"/>
      <c r="AT40" s="537"/>
      <c r="AU40" s="537"/>
      <c r="AV40" s="537"/>
      <c r="AW40" s="537"/>
      <c r="AX40" s="537"/>
      <c r="AY40" s="537"/>
      <c r="AZ40" s="537"/>
      <c r="BA40" s="537"/>
      <c r="BB40" s="537"/>
      <c r="BC40" s="537"/>
      <c r="BD40" s="537"/>
      <c r="BE40" s="537"/>
      <c r="BF40" s="537"/>
      <c r="BG40" s="537"/>
      <c r="BH40" s="537"/>
      <c r="CS40" s="440"/>
      <c r="CT40" s="440"/>
      <c r="CU40" s="440"/>
      <c r="CV40" s="440"/>
      <c r="CW40" s="440"/>
      <c r="CX40" s="440"/>
      <c r="CY40" s="440"/>
      <c r="CZ40" s="440"/>
      <c r="DA40" s="440"/>
      <c r="DB40" s="440"/>
      <c r="DC40" s="440"/>
      <c r="DD40" s="440"/>
      <c r="DE40" s="440"/>
      <c r="DF40" s="440"/>
      <c r="DG40" s="440"/>
      <c r="DH40" s="440"/>
      <c r="DI40" s="440"/>
      <c r="DJ40" s="440"/>
      <c r="DK40" s="440"/>
      <c r="DL40" s="440"/>
      <c r="DM40" s="440"/>
      <c r="DN40" s="440"/>
      <c r="DO40" s="440"/>
      <c r="DP40" s="440"/>
      <c r="DQ40" s="440"/>
      <c r="DR40" s="440"/>
      <c r="DS40" s="440"/>
      <c r="DT40" s="440"/>
      <c r="DU40" s="440"/>
      <c r="DV40" s="440"/>
      <c r="DW40" s="440"/>
      <c r="DX40" s="440"/>
      <c r="DY40" s="440"/>
      <c r="DZ40" s="440"/>
      <c r="EA40" s="440"/>
      <c r="EB40" s="440"/>
      <c r="EC40" s="440"/>
      <c r="ED40" s="440"/>
      <c r="EE40" s="440"/>
      <c r="EF40" s="440"/>
      <c r="EG40" s="440"/>
      <c r="EH40" s="440"/>
      <c r="EI40" s="440"/>
      <c r="EJ40" s="440"/>
      <c r="EK40" s="440"/>
      <c r="EL40" s="440"/>
      <c r="EM40" s="440"/>
      <c r="EN40" s="440"/>
      <c r="EO40" s="440"/>
      <c r="EP40" s="440"/>
      <c r="EQ40" s="440"/>
      <c r="ER40" s="440"/>
      <c r="ES40" s="440"/>
      <c r="ET40" s="440"/>
      <c r="EU40" s="440"/>
      <c r="EV40" s="440"/>
      <c r="EW40" s="440"/>
      <c r="EX40" s="440"/>
      <c r="EY40" s="440"/>
      <c r="EZ40" s="440"/>
      <c r="FA40" s="440"/>
      <c r="FB40" s="440"/>
      <c r="FC40" s="440"/>
    </row>
    <row r="41" spans="1:159" ht="9.75" hidden="1" customHeight="1" x14ac:dyDescent="0.15">
      <c r="A41" s="293"/>
      <c r="B41" s="285"/>
      <c r="C41" s="294"/>
      <c r="D41" s="298"/>
      <c r="E41" s="612"/>
      <c r="F41" s="612"/>
      <c r="G41" s="674"/>
      <c r="H41" s="613"/>
      <c r="I41" s="613"/>
      <c r="J41" s="508"/>
      <c r="K41" s="508"/>
      <c r="L41" s="508"/>
      <c r="M41" s="524"/>
      <c r="N41" s="524"/>
      <c r="O41" s="509"/>
      <c r="P41" s="614"/>
      <c r="Q41" s="614"/>
      <c r="R41" s="509"/>
      <c r="S41" s="509"/>
      <c r="T41" s="509"/>
      <c r="U41" s="509"/>
      <c r="V41" s="509"/>
      <c r="W41" s="509"/>
      <c r="X41" s="509"/>
      <c r="Y41" s="509"/>
      <c r="Z41" s="509"/>
      <c r="AA41" s="509"/>
      <c r="AB41" s="509"/>
      <c r="AC41" s="524"/>
      <c r="AD41" s="524"/>
      <c r="AE41" s="509"/>
      <c r="AF41" s="614"/>
      <c r="AG41" s="614"/>
      <c r="AH41" s="509"/>
      <c r="AK41" s="538"/>
      <c r="AL41" s="538"/>
      <c r="AM41" s="538"/>
      <c r="AN41" s="538"/>
      <c r="AO41" s="538"/>
      <c r="AP41" s="538"/>
      <c r="AQ41" s="538"/>
      <c r="AR41" s="538"/>
      <c r="AS41" s="538"/>
      <c r="AT41" s="538"/>
      <c r="AU41" s="538"/>
      <c r="AV41" s="538"/>
      <c r="AW41" s="538"/>
      <c r="AX41" s="538"/>
      <c r="AY41" s="538"/>
      <c r="AZ41" s="538"/>
      <c r="BA41" s="538"/>
      <c r="BB41" s="538"/>
      <c r="BC41" s="538"/>
      <c r="BD41" s="538"/>
      <c r="BE41" s="538"/>
      <c r="BF41" s="538"/>
      <c r="BG41" s="538"/>
      <c r="BH41" s="538"/>
      <c r="CS41" s="442"/>
      <c r="CT41" s="442"/>
      <c r="CU41" s="442"/>
      <c r="CV41" s="442"/>
      <c r="CW41" s="442"/>
      <c r="CX41" s="442"/>
      <c r="CY41" s="442"/>
      <c r="CZ41" s="442"/>
      <c r="DA41" s="442"/>
      <c r="DB41" s="442"/>
      <c r="DC41" s="442"/>
      <c r="DD41" s="442"/>
      <c r="DE41" s="442"/>
      <c r="DF41" s="442"/>
      <c r="DG41" s="442"/>
      <c r="DH41" s="442"/>
      <c r="DI41" s="442"/>
      <c r="DJ41" s="442"/>
      <c r="DK41" s="442"/>
      <c r="DL41" s="442"/>
      <c r="DM41" s="442"/>
      <c r="DN41" s="442"/>
      <c r="DO41" s="442"/>
      <c r="DP41" s="442"/>
      <c r="DQ41" s="442"/>
      <c r="DR41" s="442"/>
      <c r="DS41" s="442"/>
      <c r="DT41" s="442"/>
      <c r="DU41" s="442"/>
      <c r="DV41" s="442"/>
      <c r="DW41" s="442"/>
      <c r="DX41" s="442"/>
      <c r="DY41" s="442"/>
      <c r="DZ41" s="442"/>
      <c r="EA41" s="442"/>
      <c r="EB41" s="442"/>
      <c r="EC41" s="442"/>
      <c r="ED41" s="442"/>
      <c r="EE41" s="442"/>
      <c r="EF41" s="442"/>
      <c r="EG41" s="442"/>
      <c r="EH41" s="442"/>
      <c r="EI41" s="442"/>
      <c r="EJ41" s="442"/>
      <c r="EK41" s="442"/>
      <c r="EL41" s="442"/>
      <c r="EM41" s="442"/>
      <c r="EN41" s="442"/>
      <c r="EO41" s="442"/>
      <c r="EP41" s="442"/>
      <c r="EQ41" s="442"/>
      <c r="ER41" s="442"/>
      <c r="ES41" s="442"/>
      <c r="ET41" s="442"/>
      <c r="EU41" s="442"/>
      <c r="EV41" s="442"/>
      <c r="EW41" s="442"/>
      <c r="EX41" s="442"/>
      <c r="EY41" s="442"/>
      <c r="EZ41" s="442"/>
      <c r="FA41" s="442"/>
      <c r="FB41" s="442"/>
      <c r="FC41" s="442"/>
    </row>
    <row r="42" spans="1:159" ht="9.75" hidden="1" customHeight="1" x14ac:dyDescent="0.15">
      <c r="A42" s="293"/>
      <c r="B42" s="285"/>
      <c r="C42" s="294"/>
      <c r="D42" s="298"/>
      <c r="E42" s="612" t="s">
        <v>563</v>
      </c>
      <c r="F42" s="612" t="s">
        <v>563</v>
      </c>
      <c r="G42" s="674" t="s">
        <v>563</v>
      </c>
      <c r="H42" s="613" t="s">
        <v>563</v>
      </c>
      <c r="I42" s="613" t="s">
        <v>563</v>
      </c>
      <c r="J42" s="508" t="s">
        <v>563</v>
      </c>
      <c r="K42" s="508" t="s">
        <v>563</v>
      </c>
      <c r="L42" s="508" t="s">
        <v>563</v>
      </c>
      <c r="M42" s="524" t="s">
        <v>563</v>
      </c>
      <c r="N42" s="524" t="s">
        <v>563</v>
      </c>
      <c r="O42" s="509" t="s">
        <v>563</v>
      </c>
      <c r="P42" s="614" t="s">
        <v>563</v>
      </c>
      <c r="Q42" s="614" t="s">
        <v>563</v>
      </c>
      <c r="R42" s="509" t="s">
        <v>563</v>
      </c>
      <c r="S42" s="509" t="s">
        <v>563</v>
      </c>
      <c r="T42" s="509" t="s">
        <v>563</v>
      </c>
      <c r="U42" s="509" t="s">
        <v>563</v>
      </c>
      <c r="V42" s="509" t="s">
        <v>563</v>
      </c>
      <c r="W42" s="509" t="s">
        <v>563</v>
      </c>
      <c r="X42" s="509" t="s">
        <v>563</v>
      </c>
      <c r="Y42" s="509" t="s">
        <v>563</v>
      </c>
      <c r="Z42" s="509" t="s">
        <v>563</v>
      </c>
      <c r="AA42" s="509" t="s">
        <v>563</v>
      </c>
      <c r="AB42" s="509" t="s">
        <v>563</v>
      </c>
      <c r="AC42" s="524" t="s">
        <v>563</v>
      </c>
      <c r="AD42" s="524" t="s">
        <v>563</v>
      </c>
      <c r="AE42" s="509" t="s">
        <v>563</v>
      </c>
      <c r="AF42" s="614" t="s">
        <v>563</v>
      </c>
      <c r="AG42" s="614" t="s">
        <v>563</v>
      </c>
      <c r="AH42" s="509" t="s">
        <v>563</v>
      </c>
      <c r="AK42" s="538"/>
      <c r="AL42" s="538"/>
      <c r="AM42" s="538"/>
      <c r="AN42" s="538"/>
      <c r="AO42" s="538"/>
      <c r="AP42" s="538"/>
      <c r="AQ42" s="538"/>
      <c r="AR42" s="538"/>
      <c r="AS42" s="538"/>
      <c r="AT42" s="538"/>
      <c r="AU42" s="538"/>
      <c r="AV42" s="538"/>
      <c r="AW42" s="538"/>
      <c r="AX42" s="538"/>
      <c r="AY42" s="538"/>
      <c r="AZ42" s="538"/>
      <c r="BA42" s="538"/>
      <c r="BB42" s="538"/>
      <c r="BC42" s="538"/>
      <c r="BD42" s="538"/>
      <c r="BE42" s="538"/>
      <c r="BF42" s="538"/>
      <c r="BG42" s="538"/>
      <c r="BH42" s="538"/>
      <c r="CS42" s="442"/>
      <c r="CT42" s="442"/>
      <c r="CU42" s="442"/>
      <c r="CV42" s="442"/>
      <c r="CW42" s="442"/>
      <c r="CX42" s="442"/>
      <c r="CY42" s="442"/>
      <c r="CZ42" s="442"/>
      <c r="DA42" s="442"/>
      <c r="DB42" s="442"/>
      <c r="DC42" s="442"/>
      <c r="DD42" s="442"/>
      <c r="DE42" s="442"/>
      <c r="DF42" s="442"/>
      <c r="DG42" s="442"/>
      <c r="DH42" s="442"/>
      <c r="DI42" s="442"/>
      <c r="DJ42" s="442"/>
      <c r="DK42" s="442"/>
      <c r="DL42" s="442"/>
      <c r="DM42" s="442"/>
      <c r="DN42" s="442"/>
      <c r="DO42" s="442"/>
      <c r="DP42" s="442"/>
      <c r="DQ42" s="442"/>
      <c r="DR42" s="442"/>
      <c r="DS42" s="442"/>
      <c r="DT42" s="442"/>
      <c r="DU42" s="442"/>
      <c r="DV42" s="442"/>
      <c r="DW42" s="442"/>
      <c r="DX42" s="442"/>
      <c r="DY42" s="442"/>
      <c r="DZ42" s="442"/>
      <c r="EA42" s="442"/>
      <c r="EB42" s="442"/>
      <c r="EC42" s="442"/>
      <c r="ED42" s="442"/>
      <c r="EE42" s="442"/>
      <c r="EF42" s="442"/>
      <c r="EG42" s="442"/>
      <c r="EH42" s="442"/>
      <c r="EI42" s="442"/>
      <c r="EJ42" s="442"/>
      <c r="EK42" s="442"/>
      <c r="EL42" s="442"/>
      <c r="EM42" s="442"/>
      <c r="EN42" s="442"/>
      <c r="EO42" s="442"/>
      <c r="EP42" s="442"/>
      <c r="EQ42" s="442"/>
      <c r="ER42" s="442"/>
      <c r="ES42" s="442"/>
      <c r="ET42" s="442"/>
      <c r="EU42" s="442"/>
      <c r="EV42" s="442"/>
      <c r="EW42" s="442"/>
      <c r="EX42" s="442"/>
      <c r="EY42" s="442"/>
      <c r="EZ42" s="442"/>
      <c r="FA42" s="442"/>
      <c r="FB42" s="442"/>
      <c r="FC42" s="442"/>
    </row>
    <row r="43" spans="1:159" ht="9.75" customHeight="1" x14ac:dyDescent="0.15">
      <c r="A43" s="774" t="s">
        <v>412</v>
      </c>
      <c r="B43" s="775"/>
      <c r="C43" s="294" t="s">
        <v>204</v>
      </c>
      <c r="D43" s="298"/>
      <c r="E43" s="612">
        <v>1.0076524</v>
      </c>
      <c r="F43" s="612">
        <v>1.008507</v>
      </c>
      <c r="G43" s="674">
        <v>1.0086257000000001</v>
      </c>
      <c r="H43" s="613">
        <v>1.0085025000000001</v>
      </c>
      <c r="I43" s="613">
        <v>1.0082939</v>
      </c>
      <c r="J43" s="508">
        <v>1.0091931000000001</v>
      </c>
      <c r="K43" s="508">
        <v>1.008623</v>
      </c>
      <c r="L43" s="508">
        <v>1.0085725999999999</v>
      </c>
      <c r="M43" s="524">
        <v>0.99099302</v>
      </c>
      <c r="N43" s="524">
        <v>0.99105087000000003</v>
      </c>
      <c r="O43" s="509">
        <v>0.99041358999999995</v>
      </c>
      <c r="P43" s="614">
        <v>0.99003817999999999</v>
      </c>
      <c r="Q43" s="614">
        <v>0.99303253999999996</v>
      </c>
      <c r="R43" s="509">
        <v>0.99164843999999996</v>
      </c>
      <c r="S43" s="509">
        <v>0.99582696999999998</v>
      </c>
      <c r="T43" s="509">
        <v>0.99458391000000002</v>
      </c>
      <c r="U43" s="509">
        <v>0.99452547000000002</v>
      </c>
      <c r="V43" s="509">
        <v>0.99546237000000004</v>
      </c>
      <c r="W43" s="509">
        <v>0.99595867000000005</v>
      </c>
      <c r="X43" s="509">
        <v>0.99630233000000001</v>
      </c>
      <c r="Y43" s="509">
        <v>0.99639354999999996</v>
      </c>
      <c r="Z43" s="509">
        <v>0.99449958000000005</v>
      </c>
      <c r="AA43" s="509">
        <v>0.99472430999999994</v>
      </c>
      <c r="AB43" s="509">
        <v>0.99589165999999996</v>
      </c>
      <c r="AC43" s="524">
        <v>1.0010779999999999</v>
      </c>
      <c r="AD43" s="524">
        <v>0.99978931999999998</v>
      </c>
      <c r="AE43" s="509">
        <v>1.0045641999999999</v>
      </c>
      <c r="AF43" s="614">
        <v>0.99809784999999995</v>
      </c>
      <c r="AG43" s="614">
        <v>0.99430552999999999</v>
      </c>
      <c r="AH43" s="509">
        <v>1.0005165</v>
      </c>
      <c r="AK43" s="538"/>
      <c r="AL43" s="538"/>
      <c r="AM43" s="538"/>
      <c r="AN43" s="538"/>
      <c r="AO43" s="538"/>
      <c r="AP43" s="538"/>
      <c r="AQ43" s="538"/>
      <c r="AR43" s="538"/>
      <c r="AS43" s="538"/>
      <c r="AT43" s="538"/>
      <c r="AU43" s="538"/>
      <c r="AV43" s="538"/>
      <c r="AW43" s="538"/>
      <c r="AX43" s="538"/>
      <c r="AY43" s="538"/>
      <c r="AZ43" s="538"/>
      <c r="BA43" s="538"/>
      <c r="BB43" s="538"/>
      <c r="BC43" s="538"/>
      <c r="BD43" s="538"/>
      <c r="BE43" s="538"/>
      <c r="BF43" s="538"/>
      <c r="BG43" s="538"/>
      <c r="BH43" s="538"/>
      <c r="CS43" s="442"/>
      <c r="CT43" s="442"/>
      <c r="CU43" s="442"/>
      <c r="CV43" s="442"/>
      <c r="CW43" s="442"/>
      <c r="CX43" s="442"/>
      <c r="CY43" s="442"/>
      <c r="CZ43" s="442"/>
      <c r="DA43" s="442"/>
      <c r="DB43" s="442"/>
      <c r="DC43" s="442"/>
      <c r="DD43" s="442"/>
      <c r="DE43" s="442"/>
      <c r="DF43" s="442"/>
      <c r="DG43" s="442"/>
      <c r="DH43" s="442"/>
      <c r="DI43" s="442"/>
      <c r="DJ43" s="442"/>
      <c r="DK43" s="442"/>
      <c r="DL43" s="442"/>
      <c r="DM43" s="442"/>
      <c r="DN43" s="442"/>
      <c r="DO43" s="442"/>
      <c r="DP43" s="442"/>
      <c r="DQ43" s="442"/>
      <c r="DR43" s="442"/>
      <c r="DS43" s="442"/>
      <c r="DT43" s="442"/>
      <c r="DU43" s="442"/>
      <c r="DV43" s="442"/>
      <c r="DW43" s="442"/>
      <c r="DX43" s="442"/>
      <c r="DY43" s="442"/>
      <c r="DZ43" s="442"/>
      <c r="EA43" s="442"/>
      <c r="EB43" s="442"/>
      <c r="EC43" s="442"/>
      <c r="ED43" s="442"/>
      <c r="EE43" s="442"/>
      <c r="EF43" s="442"/>
      <c r="EG43" s="442"/>
      <c r="EH43" s="442"/>
      <c r="EI43" s="442"/>
      <c r="EJ43" s="442"/>
      <c r="EK43" s="442"/>
      <c r="EL43" s="442"/>
      <c r="EM43" s="442"/>
      <c r="EN43" s="442"/>
      <c r="EO43" s="442"/>
      <c r="EP43" s="442"/>
      <c r="EQ43" s="442"/>
      <c r="ER43" s="442"/>
      <c r="ES43" s="442"/>
      <c r="ET43" s="442"/>
      <c r="EU43" s="442"/>
      <c r="EV43" s="442"/>
      <c r="EW43" s="442"/>
      <c r="EX43" s="442"/>
      <c r="EY43" s="442"/>
      <c r="EZ43" s="442"/>
      <c r="FA43" s="442"/>
      <c r="FB43" s="442"/>
      <c r="FC43" s="442"/>
    </row>
    <row r="44" spans="1:159" ht="9.75" customHeight="1" x14ac:dyDescent="0.15">
      <c r="A44" s="776"/>
      <c r="B44" s="777"/>
      <c r="C44" s="296" t="s">
        <v>205</v>
      </c>
      <c r="D44" s="299"/>
      <c r="E44" s="610">
        <v>2.6286772999999999E-3</v>
      </c>
      <c r="F44" s="610">
        <v>2.5902656999999998E-3</v>
      </c>
      <c r="G44" s="675">
        <v>2.7639263E-3</v>
      </c>
      <c r="H44" s="611">
        <v>2.5084081000000002E-3</v>
      </c>
      <c r="I44" s="611">
        <v>4.0107789999999999E-3</v>
      </c>
      <c r="J44" s="507">
        <v>5.3323477000000001E-3</v>
      </c>
      <c r="K44" s="507">
        <v>2.1595119000000001E-3</v>
      </c>
      <c r="L44" s="507">
        <v>7.5254244999999999E-3</v>
      </c>
      <c r="M44" s="523">
        <v>2.5113053999999998E-3</v>
      </c>
      <c r="N44" s="523">
        <v>1.7799466999999999E-3</v>
      </c>
      <c r="O44" s="510">
        <v>1.2987289E-3</v>
      </c>
      <c r="P44" s="616">
        <v>2.1338499E-3</v>
      </c>
      <c r="Q44" s="616">
        <v>2.3646366E-3</v>
      </c>
      <c r="R44" s="510">
        <v>1.1796113E-2</v>
      </c>
      <c r="S44" s="510">
        <v>1.7428093E-3</v>
      </c>
      <c r="T44" s="510">
        <v>3.1887475999999998E-3</v>
      </c>
      <c r="U44" s="510">
        <v>2.1767186E-3</v>
      </c>
      <c r="V44" s="510">
        <v>2.1937050999999998E-3</v>
      </c>
      <c r="W44" s="510">
        <v>2.9709760000000002E-3</v>
      </c>
      <c r="X44" s="510">
        <v>2.3227155000000001E-3</v>
      </c>
      <c r="Y44" s="510">
        <v>1.8108938000000001E-3</v>
      </c>
      <c r="Z44" s="510">
        <v>2.2507641000000002E-3</v>
      </c>
      <c r="AA44" s="510">
        <v>1.9818716999999999E-3</v>
      </c>
      <c r="AB44" s="510">
        <v>2.7179705999999999E-3</v>
      </c>
      <c r="AC44" s="523">
        <v>2.1048159999999998E-3</v>
      </c>
      <c r="AD44" s="523">
        <v>2.6476748999999999E-3</v>
      </c>
      <c r="AE44" s="510">
        <v>2.6538008999999999E-3</v>
      </c>
      <c r="AF44" s="616">
        <v>1.6220116E-3</v>
      </c>
      <c r="AG44" s="616">
        <v>4.0278227000000002E-3</v>
      </c>
      <c r="AH44" s="510">
        <v>2.5185730000000001E-3</v>
      </c>
      <c r="AK44" s="538"/>
      <c r="AL44" s="538"/>
      <c r="AM44" s="538"/>
      <c r="AN44" s="538"/>
      <c r="AO44" s="538"/>
      <c r="AP44" s="538"/>
      <c r="AQ44" s="538"/>
      <c r="AR44" s="538"/>
      <c r="AS44" s="538"/>
      <c r="AT44" s="538"/>
      <c r="AU44" s="538"/>
      <c r="AV44" s="538"/>
      <c r="AW44" s="538"/>
      <c r="AX44" s="538"/>
      <c r="AY44" s="538"/>
      <c r="AZ44" s="538"/>
      <c r="BA44" s="538"/>
      <c r="BB44" s="538"/>
      <c r="BC44" s="538"/>
      <c r="BD44" s="538"/>
      <c r="BE44" s="538"/>
      <c r="BF44" s="538"/>
      <c r="BG44" s="538"/>
      <c r="BH44" s="538"/>
      <c r="CS44" s="442"/>
      <c r="CT44" s="442"/>
      <c r="CU44" s="442"/>
      <c r="CV44" s="442"/>
      <c r="CW44" s="442"/>
      <c r="CX44" s="442"/>
      <c r="CY44" s="442"/>
      <c r="CZ44" s="442"/>
      <c r="DA44" s="442"/>
      <c r="DB44" s="442"/>
      <c r="DC44" s="442"/>
      <c r="DD44" s="442"/>
      <c r="DE44" s="442"/>
      <c r="DF44" s="442"/>
      <c r="DG44" s="442"/>
      <c r="DH44" s="442"/>
      <c r="DI44" s="442"/>
      <c r="DJ44" s="442"/>
      <c r="DK44" s="442"/>
      <c r="DL44" s="442"/>
      <c r="DM44" s="442"/>
      <c r="DN44" s="442"/>
      <c r="DO44" s="442"/>
      <c r="DP44" s="442"/>
      <c r="DQ44" s="442"/>
      <c r="DR44" s="442"/>
      <c r="DS44" s="442"/>
      <c r="DT44" s="442"/>
      <c r="DU44" s="442"/>
      <c r="DV44" s="442"/>
      <c r="DW44" s="442"/>
      <c r="DX44" s="442"/>
      <c r="DY44" s="442"/>
      <c r="DZ44" s="442"/>
      <c r="EA44" s="442"/>
      <c r="EB44" s="442"/>
      <c r="EC44" s="442"/>
      <c r="ED44" s="442"/>
      <c r="EE44" s="442"/>
      <c r="EF44" s="442"/>
      <c r="EG44" s="442"/>
      <c r="EH44" s="442"/>
      <c r="EI44" s="442"/>
      <c r="EJ44" s="442"/>
      <c r="EK44" s="442"/>
      <c r="EL44" s="442"/>
      <c r="EM44" s="442"/>
      <c r="EN44" s="442"/>
      <c r="EO44" s="442"/>
      <c r="EP44" s="442"/>
      <c r="EQ44" s="442"/>
      <c r="ER44" s="442"/>
      <c r="ES44" s="442"/>
      <c r="ET44" s="442"/>
      <c r="EU44" s="442"/>
      <c r="EV44" s="442"/>
      <c r="EW44" s="442"/>
      <c r="EX44" s="442"/>
      <c r="EY44" s="442"/>
      <c r="EZ44" s="442"/>
      <c r="FA44" s="442"/>
      <c r="FB44" s="442"/>
      <c r="FC44" s="442"/>
    </row>
    <row r="45" spans="1:159" ht="9.75" hidden="1" customHeight="1" x14ac:dyDescent="0.15">
      <c r="A45" s="293"/>
      <c r="B45" s="285"/>
      <c r="C45" s="294"/>
      <c r="D45" s="298"/>
      <c r="E45" s="612"/>
      <c r="F45" s="612"/>
      <c r="G45" s="674"/>
      <c r="H45" s="613"/>
      <c r="I45" s="613"/>
      <c r="J45" s="508"/>
      <c r="K45" s="508"/>
      <c r="L45" s="508"/>
      <c r="M45" s="524"/>
      <c r="N45" s="524"/>
      <c r="O45" s="509"/>
      <c r="P45" s="614"/>
      <c r="Q45" s="614"/>
      <c r="R45" s="509"/>
      <c r="S45" s="509"/>
      <c r="T45" s="509"/>
      <c r="U45" s="509"/>
      <c r="V45" s="509"/>
      <c r="W45" s="509"/>
      <c r="X45" s="509"/>
      <c r="Y45" s="509"/>
      <c r="Z45" s="509"/>
      <c r="AA45" s="509"/>
      <c r="AB45" s="509"/>
      <c r="AC45" s="524"/>
      <c r="AD45" s="524"/>
      <c r="AE45" s="509"/>
      <c r="AF45" s="614"/>
      <c r="AG45" s="614"/>
      <c r="AH45" s="509"/>
      <c r="AK45" s="538"/>
      <c r="AL45" s="538"/>
      <c r="AM45" s="538"/>
      <c r="AN45" s="538"/>
      <c r="AO45" s="538"/>
      <c r="AP45" s="538"/>
      <c r="AQ45" s="538"/>
      <c r="AR45" s="538"/>
      <c r="AS45" s="538"/>
      <c r="AT45" s="538"/>
      <c r="AU45" s="538"/>
      <c r="AV45" s="538"/>
      <c r="AW45" s="538"/>
      <c r="AX45" s="538"/>
      <c r="AY45" s="538"/>
      <c r="AZ45" s="538"/>
      <c r="BA45" s="538"/>
      <c r="BB45" s="538"/>
      <c r="BC45" s="538"/>
      <c r="BD45" s="538"/>
      <c r="BE45" s="538"/>
      <c r="BF45" s="538"/>
      <c r="BG45" s="538"/>
      <c r="BH45" s="538"/>
      <c r="CS45" s="442"/>
      <c r="CT45" s="442"/>
      <c r="CU45" s="442"/>
      <c r="CV45" s="442"/>
      <c r="CW45" s="442"/>
      <c r="CX45" s="442"/>
      <c r="CY45" s="442"/>
      <c r="CZ45" s="442"/>
      <c r="DA45" s="442"/>
      <c r="DB45" s="442"/>
      <c r="DC45" s="442"/>
      <c r="DD45" s="442"/>
      <c r="DE45" s="442"/>
      <c r="DF45" s="442"/>
      <c r="DG45" s="442"/>
      <c r="DH45" s="442"/>
      <c r="DI45" s="442"/>
      <c r="DJ45" s="442"/>
      <c r="DK45" s="442"/>
      <c r="DL45" s="442"/>
      <c r="DM45" s="442"/>
      <c r="DN45" s="442"/>
      <c r="DO45" s="442"/>
      <c r="DP45" s="442"/>
      <c r="DQ45" s="442"/>
      <c r="DR45" s="442"/>
      <c r="DS45" s="442"/>
      <c r="DT45" s="442"/>
      <c r="DU45" s="442"/>
      <c r="DV45" s="442"/>
      <c r="DW45" s="442"/>
      <c r="DX45" s="442"/>
      <c r="DY45" s="442"/>
      <c r="DZ45" s="442"/>
      <c r="EA45" s="442"/>
      <c r="EB45" s="442"/>
      <c r="EC45" s="442"/>
      <c r="ED45" s="442"/>
      <c r="EE45" s="442"/>
      <c r="EF45" s="442"/>
      <c r="EG45" s="442"/>
      <c r="EH45" s="442"/>
      <c r="EI45" s="442"/>
      <c r="EJ45" s="442"/>
      <c r="EK45" s="442"/>
      <c r="EL45" s="442"/>
      <c r="EM45" s="442"/>
      <c r="EN45" s="442"/>
      <c r="EO45" s="442"/>
      <c r="EP45" s="442"/>
      <c r="EQ45" s="442"/>
      <c r="ER45" s="442"/>
      <c r="ES45" s="442"/>
      <c r="ET45" s="442"/>
      <c r="EU45" s="442"/>
      <c r="EV45" s="442"/>
      <c r="EW45" s="442"/>
      <c r="EX45" s="442"/>
      <c r="EY45" s="442"/>
      <c r="EZ45" s="442"/>
      <c r="FA45" s="442"/>
      <c r="FB45" s="442"/>
      <c r="FC45" s="442"/>
    </row>
    <row r="46" spans="1:159" ht="9.75" hidden="1" customHeight="1" x14ac:dyDescent="0.15">
      <c r="A46" s="293"/>
      <c r="B46" s="285"/>
      <c r="C46" s="294"/>
      <c r="D46" s="298"/>
      <c r="E46" s="612" t="s">
        <v>564</v>
      </c>
      <c r="F46" s="612" t="s">
        <v>564</v>
      </c>
      <c r="G46" s="674" t="s">
        <v>564</v>
      </c>
      <c r="H46" s="613" t="s">
        <v>564</v>
      </c>
      <c r="I46" s="613" t="s">
        <v>564</v>
      </c>
      <c r="J46" s="508" t="s">
        <v>564</v>
      </c>
      <c r="K46" s="508" t="s">
        <v>564</v>
      </c>
      <c r="L46" s="508" t="s">
        <v>564</v>
      </c>
      <c r="M46" s="524" t="s">
        <v>564</v>
      </c>
      <c r="N46" s="524" t="s">
        <v>564</v>
      </c>
      <c r="O46" s="509" t="s">
        <v>564</v>
      </c>
      <c r="P46" s="614" t="s">
        <v>564</v>
      </c>
      <c r="Q46" s="614" t="s">
        <v>564</v>
      </c>
      <c r="R46" s="509" t="s">
        <v>564</v>
      </c>
      <c r="S46" s="509" t="s">
        <v>564</v>
      </c>
      <c r="T46" s="509" t="s">
        <v>564</v>
      </c>
      <c r="U46" s="509" t="s">
        <v>564</v>
      </c>
      <c r="V46" s="509" t="s">
        <v>564</v>
      </c>
      <c r="W46" s="509" t="s">
        <v>564</v>
      </c>
      <c r="X46" s="509" t="s">
        <v>564</v>
      </c>
      <c r="Y46" s="509" t="s">
        <v>564</v>
      </c>
      <c r="Z46" s="509" t="s">
        <v>564</v>
      </c>
      <c r="AA46" s="509" t="s">
        <v>564</v>
      </c>
      <c r="AB46" s="509" t="s">
        <v>564</v>
      </c>
      <c r="AC46" s="524" t="s">
        <v>564</v>
      </c>
      <c r="AD46" s="524" t="s">
        <v>564</v>
      </c>
      <c r="AE46" s="509" t="s">
        <v>564</v>
      </c>
      <c r="AF46" s="614" t="s">
        <v>564</v>
      </c>
      <c r="AG46" s="614" t="s">
        <v>564</v>
      </c>
      <c r="AH46" s="509" t="s">
        <v>564</v>
      </c>
      <c r="AK46" s="538"/>
      <c r="AL46" s="538"/>
      <c r="AM46" s="538"/>
      <c r="AN46" s="538"/>
      <c r="AO46" s="538"/>
      <c r="AP46" s="538"/>
      <c r="AQ46" s="538"/>
      <c r="AR46" s="538"/>
      <c r="AS46" s="538"/>
      <c r="AT46" s="538"/>
      <c r="AU46" s="538"/>
      <c r="AV46" s="538"/>
      <c r="AW46" s="538"/>
      <c r="AX46" s="538"/>
      <c r="AY46" s="538"/>
      <c r="AZ46" s="538"/>
      <c r="BA46" s="538"/>
      <c r="BB46" s="538"/>
      <c r="BC46" s="538"/>
      <c r="BD46" s="538"/>
      <c r="BE46" s="538"/>
      <c r="BF46" s="538"/>
      <c r="BG46" s="538"/>
      <c r="BH46" s="538"/>
      <c r="CS46" s="442"/>
      <c r="CT46" s="442"/>
      <c r="CU46" s="442"/>
      <c r="CV46" s="442"/>
      <c r="CW46" s="442"/>
      <c r="CX46" s="442"/>
      <c r="CY46" s="442"/>
      <c r="CZ46" s="442"/>
      <c r="DA46" s="442"/>
      <c r="DB46" s="442"/>
      <c r="DC46" s="442"/>
      <c r="DD46" s="442"/>
      <c r="DE46" s="442"/>
      <c r="DF46" s="442"/>
      <c r="DG46" s="442"/>
      <c r="DH46" s="442"/>
      <c r="DI46" s="442"/>
      <c r="DJ46" s="442"/>
      <c r="DK46" s="442"/>
      <c r="DL46" s="442"/>
      <c r="DM46" s="442"/>
      <c r="DN46" s="442"/>
      <c r="DO46" s="442"/>
      <c r="DP46" s="442"/>
      <c r="DQ46" s="442"/>
      <c r="DR46" s="442"/>
      <c r="DS46" s="442"/>
      <c r="DT46" s="442"/>
      <c r="DU46" s="442"/>
      <c r="DV46" s="442"/>
      <c r="DW46" s="442"/>
      <c r="DX46" s="442"/>
      <c r="DY46" s="442"/>
      <c r="DZ46" s="442"/>
      <c r="EA46" s="442"/>
      <c r="EB46" s="442"/>
      <c r="EC46" s="442"/>
      <c r="ED46" s="442"/>
      <c r="EE46" s="442"/>
      <c r="EF46" s="442"/>
      <c r="EG46" s="442"/>
      <c r="EH46" s="442"/>
      <c r="EI46" s="442"/>
      <c r="EJ46" s="442"/>
      <c r="EK46" s="442"/>
      <c r="EL46" s="442"/>
      <c r="EM46" s="442"/>
      <c r="EN46" s="442"/>
      <c r="EO46" s="442"/>
      <c r="EP46" s="442"/>
      <c r="EQ46" s="442"/>
      <c r="ER46" s="442"/>
      <c r="ES46" s="442"/>
      <c r="ET46" s="442"/>
      <c r="EU46" s="442"/>
      <c r="EV46" s="442"/>
      <c r="EW46" s="442"/>
      <c r="EX46" s="442"/>
      <c r="EY46" s="442"/>
      <c r="EZ46" s="442"/>
      <c r="FA46" s="442"/>
      <c r="FB46" s="442"/>
      <c r="FC46" s="442"/>
    </row>
    <row r="47" spans="1:159" ht="9.75" customHeight="1" x14ac:dyDescent="0.2">
      <c r="A47" s="774" t="s">
        <v>492</v>
      </c>
      <c r="B47" s="775"/>
      <c r="C47" s="294" t="s">
        <v>204</v>
      </c>
      <c r="D47" s="298"/>
      <c r="E47" s="617">
        <v>0.16822947999999999</v>
      </c>
      <c r="F47" s="612">
        <v>1.3406810999999999E-2</v>
      </c>
      <c r="G47" s="674">
        <v>2.5769411999999998E-2</v>
      </c>
      <c r="H47" s="613">
        <v>3.6340338999999999E-2</v>
      </c>
      <c r="I47" s="613">
        <v>3.5288567999999999E-2</v>
      </c>
      <c r="J47" s="508">
        <v>2.0607752E-2</v>
      </c>
      <c r="K47" s="508">
        <v>4.3116293E-2</v>
      </c>
      <c r="L47" s="508">
        <v>3.2063976000000001E-2</v>
      </c>
      <c r="M47" s="697">
        <v>0.79760876999999997</v>
      </c>
      <c r="N47" s="524">
        <v>0.77884165000000005</v>
      </c>
      <c r="O47" s="509">
        <v>0.86197246999999999</v>
      </c>
      <c r="P47" s="614">
        <v>0.92128615999999997</v>
      </c>
      <c r="Q47" s="614">
        <v>0.53100561000000002</v>
      </c>
      <c r="R47" s="509">
        <v>0.73668792000000005</v>
      </c>
      <c r="S47" s="509">
        <v>0.12138098</v>
      </c>
      <c r="T47" s="617">
        <v>0.33088790000000001</v>
      </c>
      <c r="U47" s="617">
        <v>0.30793136999999998</v>
      </c>
      <c r="V47" s="617">
        <v>0.19225755999999999</v>
      </c>
      <c r="W47" s="617">
        <v>0.12009156999999999</v>
      </c>
      <c r="X47" s="617">
        <v>6.4663319999999996E-2</v>
      </c>
      <c r="Y47" s="617">
        <v>3.9395733000000002E-2</v>
      </c>
      <c r="Z47" s="617">
        <v>0.32020907999999998</v>
      </c>
      <c r="AA47" s="617">
        <v>0.25830278000000001</v>
      </c>
      <c r="AB47" s="617">
        <v>0.11382684999999999</v>
      </c>
      <c r="AC47" s="697">
        <v>1.0912352000000001</v>
      </c>
      <c r="AD47" s="524">
        <v>1.270813</v>
      </c>
      <c r="AE47" s="509">
        <v>0.59536811000000001</v>
      </c>
      <c r="AF47" s="614">
        <v>1.4770939999999999</v>
      </c>
      <c r="AG47" s="614">
        <v>1.9969627000000001</v>
      </c>
      <c r="AH47" s="509">
        <v>1.1726053999999999</v>
      </c>
      <c r="AK47" s="538"/>
      <c r="AL47" s="538"/>
      <c r="AM47" s="538"/>
      <c r="AN47" s="538"/>
      <c r="AO47" s="538"/>
      <c r="AP47" s="538"/>
      <c r="AQ47" s="538"/>
      <c r="AR47" s="538"/>
      <c r="AS47" s="538"/>
      <c r="AT47" s="538"/>
      <c r="AU47" s="538"/>
      <c r="AV47" s="538"/>
      <c r="AW47" s="538"/>
      <c r="AX47" s="538"/>
      <c r="AY47" s="538"/>
      <c r="AZ47" s="538"/>
      <c r="BA47" s="538"/>
      <c r="BB47" s="538"/>
      <c r="BC47" s="538"/>
      <c r="BD47" s="538"/>
      <c r="BE47" s="538"/>
      <c r="BF47" s="538"/>
      <c r="BG47" s="538"/>
      <c r="BH47" s="538"/>
      <c r="BJ47" s="97"/>
      <c r="BK47" s="97"/>
      <c r="BL47" s="466" t="s">
        <v>243</v>
      </c>
      <c r="BM47" s="466"/>
      <c r="BN47" s="466"/>
      <c r="BO47" s="466"/>
      <c r="BP47" s="466"/>
      <c r="BQ47" s="466"/>
      <c r="BR47" s="466"/>
      <c r="BS47" s="466"/>
      <c r="BT47" s="466"/>
      <c r="BV47" s="764" t="s">
        <v>45</v>
      </c>
      <c r="BW47" s="764"/>
      <c r="BX47" s="764"/>
      <c r="BY47" s="764"/>
      <c r="BZ47" s="764"/>
      <c r="CA47" s="764"/>
      <c r="CB47" s="764"/>
      <c r="CC47" s="344"/>
      <c r="CD47" s="769" t="s">
        <v>46</v>
      </c>
      <c r="CE47" s="769"/>
      <c r="CF47" s="769"/>
      <c r="CG47" s="769"/>
      <c r="CH47" s="769"/>
      <c r="CI47" s="769"/>
      <c r="CJ47" s="769"/>
      <c r="CK47" s="769"/>
      <c r="CL47" s="769"/>
      <c r="CN47" s="766" t="s">
        <v>47</v>
      </c>
      <c r="CO47" s="766"/>
      <c r="CP47" s="766"/>
      <c r="CS47" s="442"/>
      <c r="CT47" s="442"/>
      <c r="CU47" s="442"/>
      <c r="CV47" s="442"/>
      <c r="CW47" s="442"/>
      <c r="CX47" s="442"/>
      <c r="CY47" s="442"/>
      <c r="CZ47" s="442"/>
      <c r="DA47" s="442"/>
      <c r="DB47" s="442"/>
      <c r="DC47" s="442"/>
      <c r="DD47" s="442"/>
      <c r="DE47" s="442"/>
      <c r="DF47" s="442"/>
      <c r="DG47" s="442"/>
      <c r="DH47" s="442"/>
      <c r="DI47" s="442"/>
      <c r="DJ47" s="442"/>
      <c r="DK47" s="442"/>
      <c r="DL47" s="442"/>
      <c r="DM47" s="442"/>
      <c r="DN47" s="442"/>
      <c r="DO47" s="442"/>
      <c r="DP47" s="442"/>
      <c r="DQ47" s="442"/>
      <c r="DR47" s="442"/>
      <c r="DS47" s="442"/>
      <c r="DT47" s="442"/>
      <c r="DU47" s="442"/>
      <c r="DV47" s="442"/>
      <c r="DW47" s="442"/>
      <c r="DX47" s="442"/>
      <c r="DY47" s="442"/>
      <c r="DZ47" s="442"/>
      <c r="EA47" s="442"/>
      <c r="EB47" s="442"/>
      <c r="EC47" s="442"/>
      <c r="ED47" s="442"/>
      <c r="EE47" s="442"/>
      <c r="EF47" s="442"/>
      <c r="EG47" s="442"/>
      <c r="EH47" s="442"/>
      <c r="EI47" s="442"/>
      <c r="EJ47" s="442"/>
      <c r="EK47" s="442"/>
      <c r="EL47" s="442"/>
      <c r="EM47" s="442"/>
      <c r="EN47" s="442"/>
      <c r="EO47" s="442"/>
      <c r="EP47" s="442"/>
      <c r="EQ47" s="442"/>
      <c r="ER47" s="442"/>
      <c r="ES47" s="442"/>
      <c r="ET47" s="442"/>
      <c r="EU47" s="442"/>
      <c r="EV47" s="442"/>
      <c r="EW47" s="442"/>
      <c r="EX47" s="442"/>
      <c r="EY47" s="442"/>
      <c r="EZ47" s="442"/>
      <c r="FA47" s="442"/>
      <c r="FB47" s="442"/>
      <c r="FC47" s="442"/>
    </row>
    <row r="48" spans="1:159" ht="9.75" customHeight="1" thickBot="1" x14ac:dyDescent="0.25">
      <c r="A48" s="778"/>
      <c r="B48" s="779"/>
      <c r="C48" s="300" t="s">
        <v>205</v>
      </c>
      <c r="D48" s="301"/>
      <c r="E48" s="618">
        <v>8.3066904000000004E-3</v>
      </c>
      <c r="F48" s="618">
        <v>8.1881768999999993E-2</v>
      </c>
      <c r="G48" s="676">
        <v>5.7972172000000002E-2</v>
      </c>
      <c r="H48" s="619">
        <v>3.5487369999999997E-2</v>
      </c>
      <c r="I48" s="619">
        <v>4.7789835000000003E-2</v>
      </c>
      <c r="J48" s="620">
        <v>0.17629634</v>
      </c>
      <c r="K48" s="620">
        <v>2.6089502000000001E-2</v>
      </c>
      <c r="L48" s="620">
        <v>0.14129583000000001</v>
      </c>
      <c r="M48" s="698">
        <v>4.2940130000000002E-3</v>
      </c>
      <c r="N48" s="698">
        <v>2.4791213E-3</v>
      </c>
      <c r="O48" s="512">
        <v>1.7617970000000001E-3</v>
      </c>
      <c r="P48" s="699">
        <v>3.1075573E-3</v>
      </c>
      <c r="Q48" s="699">
        <v>3.435839E-3</v>
      </c>
      <c r="R48" s="512">
        <v>1.3630042E-2</v>
      </c>
      <c r="S48" s="512">
        <v>7.7188839E-3</v>
      </c>
      <c r="T48" s="512">
        <v>5.9562863000000004E-3</v>
      </c>
      <c r="U48" s="512">
        <v>5.5295657E-3</v>
      </c>
      <c r="V48" s="512">
        <v>5.2675778000000001E-3</v>
      </c>
      <c r="W48" s="512">
        <v>1.3400324E-2</v>
      </c>
      <c r="X48" s="512">
        <v>1.3713372E-2</v>
      </c>
      <c r="Y48" s="512">
        <v>1.1409911E-2</v>
      </c>
      <c r="Z48" s="512">
        <v>3.7706940000000002E-3</v>
      </c>
      <c r="AA48" s="512">
        <v>3.8117375000000001E-3</v>
      </c>
      <c r="AB48" s="512">
        <v>1.1296367E-2</v>
      </c>
      <c r="AC48" s="698">
        <v>2.8989371999999999E-3</v>
      </c>
      <c r="AD48" s="698">
        <v>3.3540107E-3</v>
      </c>
      <c r="AE48" s="512">
        <v>4.0189676999999998E-3</v>
      </c>
      <c r="AF48" s="699">
        <v>2.4587045000000001E-3</v>
      </c>
      <c r="AG48" s="699">
        <v>4.4522008999999998E-3</v>
      </c>
      <c r="AH48" s="512">
        <v>3.1246939999999999E-3</v>
      </c>
      <c r="AK48" s="538"/>
      <c r="AL48" s="538"/>
      <c r="AM48" s="538"/>
      <c r="AN48" s="538"/>
      <c r="AO48" s="538"/>
      <c r="AP48" s="538"/>
      <c r="AQ48" s="538"/>
      <c r="AR48" s="538"/>
      <c r="AS48" s="538"/>
      <c r="AT48" s="538"/>
      <c r="AU48" s="538"/>
      <c r="AV48" s="538"/>
      <c r="AW48" s="538"/>
      <c r="AX48" s="538"/>
      <c r="AY48" s="538"/>
      <c r="AZ48" s="538"/>
      <c r="BA48" s="538"/>
      <c r="BB48" s="538"/>
      <c r="BC48" s="538"/>
      <c r="BD48" s="538"/>
      <c r="BE48" s="538"/>
      <c r="BF48" s="538"/>
      <c r="BG48" s="538"/>
      <c r="BH48" s="538"/>
      <c r="BJ48" s="345"/>
      <c r="BK48" s="346"/>
      <c r="BL48" s="467"/>
      <c r="BM48" s="467"/>
      <c r="BN48" s="467"/>
      <c r="BO48" s="467"/>
      <c r="BP48" s="467"/>
      <c r="BQ48" s="467"/>
      <c r="BR48" s="467"/>
      <c r="BS48" s="467"/>
      <c r="BT48" s="467"/>
      <c r="BU48" s="347"/>
      <c r="BV48" s="765"/>
      <c r="BW48" s="765"/>
      <c r="BX48" s="765"/>
      <c r="BY48" s="765"/>
      <c r="BZ48" s="765"/>
      <c r="CA48" s="765"/>
      <c r="CB48" s="765"/>
      <c r="CC48" s="348"/>
      <c r="CD48" s="770"/>
      <c r="CE48" s="770"/>
      <c r="CF48" s="770"/>
      <c r="CG48" s="770"/>
      <c r="CH48" s="770"/>
      <c r="CI48" s="770"/>
      <c r="CJ48" s="770"/>
      <c r="CK48" s="770"/>
      <c r="CL48" s="770"/>
      <c r="CM48" s="221"/>
      <c r="CN48" s="767"/>
      <c r="CO48" s="767"/>
      <c r="CP48" s="767"/>
      <c r="CS48" s="442"/>
      <c r="CT48" s="442"/>
      <c r="CU48" s="442"/>
      <c r="CV48" s="442"/>
      <c r="CW48" s="442"/>
      <c r="CX48" s="442"/>
      <c r="CY48" s="442"/>
      <c r="CZ48" s="442"/>
      <c r="DA48" s="442"/>
      <c r="DB48" s="442"/>
      <c r="DC48" s="442"/>
      <c r="DD48" s="442"/>
      <c r="DE48" s="442"/>
      <c r="DF48" s="442"/>
      <c r="DG48" s="442"/>
      <c r="DH48" s="442"/>
      <c r="DI48" s="442"/>
      <c r="DJ48" s="442"/>
      <c r="DK48" s="442"/>
      <c r="DL48" s="442"/>
      <c r="DM48" s="442"/>
      <c r="DN48" s="442"/>
      <c r="DO48" s="442"/>
      <c r="DP48" s="442"/>
      <c r="DQ48" s="442"/>
      <c r="DR48" s="442"/>
      <c r="DS48" s="442"/>
      <c r="DT48" s="442"/>
      <c r="DU48" s="442"/>
      <c r="DV48" s="442"/>
      <c r="DW48" s="442"/>
      <c r="DX48" s="442"/>
      <c r="DY48" s="442"/>
      <c r="DZ48" s="442"/>
      <c r="EA48" s="442"/>
      <c r="EB48" s="442"/>
      <c r="EC48" s="442"/>
      <c r="ED48" s="442"/>
      <c r="EE48" s="442"/>
      <c r="EF48" s="442"/>
      <c r="EG48" s="442"/>
      <c r="EH48" s="442"/>
      <c r="EI48" s="442"/>
      <c r="EJ48" s="442"/>
      <c r="EK48" s="442"/>
      <c r="EL48" s="442"/>
      <c r="EM48" s="442"/>
      <c r="EN48" s="442"/>
      <c r="EO48" s="442"/>
      <c r="EP48" s="442"/>
      <c r="EQ48" s="442"/>
      <c r="ER48" s="442"/>
      <c r="ES48" s="442"/>
      <c r="ET48" s="442"/>
      <c r="EU48" s="442"/>
      <c r="EV48" s="442"/>
      <c r="EW48" s="442"/>
      <c r="EX48" s="442"/>
      <c r="EY48" s="442"/>
      <c r="EZ48" s="442"/>
      <c r="FA48" s="442"/>
      <c r="FB48" s="442"/>
      <c r="FC48" s="442"/>
    </row>
    <row r="49" spans="1:159" ht="14" customHeight="1" thickBot="1" x14ac:dyDescent="0.2">
      <c r="A49" s="780" t="s">
        <v>103</v>
      </c>
      <c r="B49" s="780"/>
      <c r="C49" s="780"/>
      <c r="D49" s="780"/>
      <c r="V49" s="291"/>
      <c r="W49" s="291"/>
      <c r="X49" s="291"/>
      <c r="Y49" s="291"/>
      <c r="Z49" s="291"/>
      <c r="AA49" s="291"/>
      <c r="AB49" s="291"/>
      <c r="AC49" s="291"/>
      <c r="AD49" s="291"/>
      <c r="AK49" s="539"/>
      <c r="AL49" s="539"/>
      <c r="AM49" s="539"/>
      <c r="AN49" s="539"/>
      <c r="AO49" s="539"/>
      <c r="AP49" s="539"/>
      <c r="AQ49" s="538"/>
      <c r="AR49" s="538"/>
      <c r="AS49" s="538"/>
      <c r="AT49" s="538"/>
      <c r="AU49" s="538"/>
      <c r="AV49" s="538"/>
      <c r="AW49" s="538"/>
      <c r="AX49" s="538"/>
      <c r="AY49" s="538"/>
      <c r="AZ49" s="538"/>
      <c r="BA49" s="538"/>
      <c r="BB49" s="538"/>
      <c r="BC49" s="538"/>
      <c r="BD49" s="538"/>
      <c r="BE49" s="538"/>
      <c r="BF49" s="538"/>
      <c r="BG49" s="538"/>
      <c r="BH49" s="538"/>
      <c r="BJ49" s="349"/>
      <c r="BK49" s="350"/>
      <c r="BL49" s="351"/>
      <c r="BM49" s="352"/>
      <c r="BN49" s="352"/>
      <c r="BO49" s="351"/>
      <c r="BP49" s="352"/>
      <c r="BQ49" s="352"/>
      <c r="BR49" s="351"/>
      <c r="BS49" s="352"/>
      <c r="BT49" s="352"/>
      <c r="BU49" s="353"/>
      <c r="BV49" s="354"/>
      <c r="BW49" s="352"/>
      <c r="BX49" s="354"/>
      <c r="BY49" s="352"/>
      <c r="BZ49" s="355"/>
      <c r="CA49" s="352"/>
      <c r="CB49" s="356"/>
      <c r="CC49" s="356"/>
      <c r="CD49" s="768" t="s">
        <v>65</v>
      </c>
      <c r="CE49" s="768"/>
      <c r="CF49" s="768"/>
      <c r="CG49" s="768" t="s">
        <v>66</v>
      </c>
      <c r="CH49" s="768"/>
      <c r="CI49" s="768"/>
      <c r="CJ49" s="768" t="s">
        <v>67</v>
      </c>
      <c r="CK49" s="768"/>
      <c r="CL49" s="768"/>
      <c r="CM49" s="327"/>
      <c r="CN49" s="341" t="s">
        <v>65</v>
      </c>
      <c r="CO49" s="341" t="s">
        <v>66</v>
      </c>
      <c r="CP49" s="341" t="s">
        <v>67</v>
      </c>
      <c r="CS49" s="442"/>
      <c r="CT49" s="442"/>
      <c r="CU49" s="442"/>
      <c r="CV49" s="442"/>
      <c r="CW49" s="442"/>
      <c r="CX49" s="442"/>
      <c r="CY49" s="442"/>
      <c r="CZ49" s="442"/>
      <c r="DA49" s="442"/>
      <c r="DB49" s="442"/>
      <c r="DC49" s="442"/>
      <c r="DD49" s="442"/>
      <c r="DE49" s="442"/>
      <c r="DF49" s="442"/>
      <c r="DG49" s="442"/>
      <c r="DH49" s="442"/>
      <c r="DI49" s="442"/>
      <c r="DJ49" s="442"/>
      <c r="DK49" s="442"/>
      <c r="DL49" s="442"/>
      <c r="DM49" s="442"/>
      <c r="DN49" s="442"/>
      <c r="DO49" s="442"/>
      <c r="DP49" s="442"/>
      <c r="DQ49" s="442"/>
      <c r="DR49" s="442"/>
      <c r="DS49" s="442"/>
      <c r="DT49" s="442"/>
      <c r="DU49" s="442"/>
      <c r="DV49" s="442"/>
      <c r="DW49" s="442"/>
      <c r="DX49" s="442"/>
      <c r="DY49" s="442"/>
      <c r="DZ49" s="442"/>
      <c r="EA49" s="442"/>
      <c r="EB49" s="442"/>
      <c r="EC49" s="442"/>
      <c r="ED49" s="442"/>
      <c r="EE49" s="442"/>
      <c r="EF49" s="442"/>
      <c r="EG49" s="442"/>
      <c r="EH49" s="442"/>
      <c r="EI49" s="442"/>
      <c r="EJ49" s="442"/>
      <c r="EK49" s="442"/>
      <c r="EL49" s="442"/>
      <c r="EM49" s="442"/>
      <c r="EN49" s="442"/>
      <c r="EO49" s="442"/>
      <c r="EP49" s="442"/>
      <c r="EQ49" s="442"/>
      <c r="ER49" s="442"/>
      <c r="ES49" s="442"/>
      <c r="ET49" s="442"/>
      <c r="EU49" s="442"/>
      <c r="EV49" s="442"/>
      <c r="EW49" s="442"/>
      <c r="EX49" s="442"/>
      <c r="EY49" s="442"/>
      <c r="EZ49" s="442"/>
      <c r="FA49" s="442"/>
      <c r="FB49" s="442"/>
      <c r="FC49" s="442"/>
    </row>
    <row r="50" spans="1:159" s="339" customFormat="1" ht="14" customHeight="1" x14ac:dyDescent="0.15">
      <c r="A50" s="330"/>
      <c r="B50" s="520" t="s">
        <v>364</v>
      </c>
      <c r="C50" s="332" t="s">
        <v>147</v>
      </c>
      <c r="D50" s="331" t="s">
        <v>362</v>
      </c>
      <c r="E50" s="333" t="s">
        <v>147</v>
      </c>
      <c r="F50" s="331" t="s">
        <v>363</v>
      </c>
      <c r="G50" s="332" t="s">
        <v>147</v>
      </c>
      <c r="H50" s="334" t="s">
        <v>242</v>
      </c>
      <c r="I50" s="334" t="s">
        <v>526</v>
      </c>
      <c r="J50" s="335" t="s">
        <v>381</v>
      </c>
      <c r="K50" s="335" t="s">
        <v>44</v>
      </c>
      <c r="L50" s="336" t="s">
        <v>215</v>
      </c>
      <c r="M50" s="337" t="s">
        <v>216</v>
      </c>
      <c r="N50" s="338" t="s">
        <v>40</v>
      </c>
      <c r="O50" s="787" t="s">
        <v>63</v>
      </c>
      <c r="P50" s="787"/>
      <c r="Q50" s="787"/>
      <c r="R50" s="787"/>
      <c r="S50" s="787"/>
      <c r="T50" s="787"/>
      <c r="V50" s="663" t="s">
        <v>548</v>
      </c>
      <c r="W50" s="663" t="s">
        <v>549</v>
      </c>
      <c r="X50" s="663" t="s">
        <v>553</v>
      </c>
      <c r="Y50" s="606"/>
      <c r="Z50" s="606"/>
      <c r="AA50" s="340"/>
      <c r="AB50" s="340"/>
      <c r="AC50" s="340"/>
      <c r="AD50" s="340"/>
      <c r="AK50" s="786"/>
      <c r="AL50" s="786"/>
      <c r="AM50" s="786"/>
      <c r="AN50" s="786"/>
      <c r="AO50" s="786"/>
      <c r="AP50" s="786"/>
      <c r="BJ50" s="357"/>
      <c r="BK50" s="357" t="s">
        <v>48</v>
      </c>
      <c r="BL50" s="341" t="s">
        <v>65</v>
      </c>
      <c r="BM50" s="358" t="s">
        <v>70</v>
      </c>
      <c r="BN50" s="358"/>
      <c r="BO50" s="341" t="s">
        <v>66</v>
      </c>
      <c r="BP50" s="358" t="s">
        <v>70</v>
      </c>
      <c r="BQ50" s="358"/>
      <c r="BR50" s="341" t="s">
        <v>67</v>
      </c>
      <c r="BS50" s="358" t="s">
        <v>70</v>
      </c>
      <c r="BT50" s="359" t="s">
        <v>121</v>
      </c>
      <c r="BU50" s="360"/>
      <c r="BV50" s="341" t="s">
        <v>65</v>
      </c>
      <c r="BW50" s="358" t="s">
        <v>71</v>
      </c>
      <c r="BX50" s="341" t="s">
        <v>66</v>
      </c>
      <c r="BY50" s="358" t="s">
        <v>71</v>
      </c>
      <c r="BZ50" s="341" t="s">
        <v>67</v>
      </c>
      <c r="CA50" s="358" t="s">
        <v>71</v>
      </c>
      <c r="CB50" s="361" t="s">
        <v>64</v>
      </c>
      <c r="CC50" s="361"/>
      <c r="CD50" s="358" t="s">
        <v>70</v>
      </c>
      <c r="CE50" s="362" t="s">
        <v>72</v>
      </c>
      <c r="CF50" s="362" t="s">
        <v>69</v>
      </c>
      <c r="CG50" s="358" t="s">
        <v>70</v>
      </c>
      <c r="CH50" s="362" t="s">
        <v>72</v>
      </c>
      <c r="CI50" s="362" t="s">
        <v>69</v>
      </c>
      <c r="CJ50" s="358" t="s">
        <v>70</v>
      </c>
      <c r="CK50" s="362" t="s">
        <v>72</v>
      </c>
      <c r="CL50" s="362" t="s">
        <v>69</v>
      </c>
      <c r="CM50" s="363"/>
      <c r="CN50" s="342" t="s">
        <v>68</v>
      </c>
      <c r="CO50" s="342" t="s">
        <v>68</v>
      </c>
      <c r="CP50" s="342" t="s">
        <v>68</v>
      </c>
      <c r="CQ50" s="343"/>
      <c r="CS50" s="443"/>
      <c r="CT50" s="443"/>
      <c r="CU50" s="443"/>
      <c r="CV50" s="443"/>
      <c r="CW50" s="443"/>
      <c r="CX50" s="443"/>
      <c r="CY50" s="443"/>
      <c r="CZ50" s="443"/>
      <c r="DA50" s="443"/>
      <c r="DB50" s="443"/>
      <c r="DC50" s="443"/>
      <c r="DD50" s="443"/>
      <c r="DE50" s="443"/>
      <c r="DF50" s="443"/>
      <c r="DG50" s="443"/>
      <c r="DH50" s="443"/>
      <c r="DI50" s="443"/>
      <c r="DJ50" s="443"/>
      <c r="DK50" s="443"/>
      <c r="DL50" s="443"/>
      <c r="DM50" s="443"/>
      <c r="DN50" s="443"/>
      <c r="DO50" s="443"/>
      <c r="DP50" s="443"/>
      <c r="DQ50" s="443"/>
      <c r="DR50" s="443"/>
      <c r="DS50" s="443"/>
      <c r="DT50" s="443"/>
      <c r="DU50" s="443"/>
      <c r="DV50" s="443"/>
      <c r="DW50" s="443"/>
      <c r="DX50" s="443"/>
      <c r="DY50" s="443"/>
      <c r="DZ50" s="443"/>
      <c r="EA50" s="443"/>
      <c r="EB50" s="443"/>
      <c r="EC50" s="443"/>
      <c r="ED50" s="443"/>
      <c r="EE50" s="443"/>
      <c r="EF50" s="443"/>
      <c r="EG50" s="443"/>
      <c r="EH50" s="443"/>
      <c r="EI50" s="443"/>
      <c r="EJ50" s="443"/>
      <c r="EK50" s="443"/>
      <c r="EL50" s="443"/>
      <c r="EM50" s="443"/>
      <c r="EN50" s="443"/>
      <c r="EO50" s="443"/>
      <c r="EP50" s="443"/>
      <c r="EQ50" s="443"/>
      <c r="ER50" s="443"/>
      <c r="ES50" s="443"/>
      <c r="ET50" s="443"/>
      <c r="EU50" s="443"/>
      <c r="EV50" s="443"/>
      <c r="EW50" s="443"/>
      <c r="EX50" s="443"/>
      <c r="EY50" s="443"/>
      <c r="EZ50" s="443"/>
      <c r="FA50" s="443"/>
      <c r="FB50" s="443"/>
      <c r="FC50" s="443"/>
    </row>
    <row r="51" spans="1:159" ht="14" customHeight="1" thickBot="1" x14ac:dyDescent="0.2">
      <c r="A51" s="739" t="str">
        <f>E4</f>
        <v>15WZ1-2 t1</v>
      </c>
      <c r="B51" s="286">
        <f>IF('Raw Data Input'!E$39&lt;&gt;"",IF('Raw Data Input'!AT$56="off",'Data Reduction Engine'!C$34,'Data Reduction Engine'!C$44),'Data Reduction Engine'!C$34)</f>
        <v>113.10756206512451</v>
      </c>
      <c r="C51" s="526">
        <f>'Data Reduction Engine'!C45</f>
        <v>65.057778159108707</v>
      </c>
      <c r="D51" s="525">
        <f>'Data Reduction Engine'!C46</f>
        <v>83.54144967673453</v>
      </c>
      <c r="E51" s="485">
        <f>'Data Reduction Engine'!C47</f>
        <v>2.2566970857956354</v>
      </c>
      <c r="F51" s="525">
        <f>IF('Raw Data Input'!AT$56="off",'Data Reduction Engine'!C$38,'Data Reduction Engine'!C$48)</f>
        <v>82.510765220932356</v>
      </c>
      <c r="G51" s="485">
        <f>'Data Reduction Engine'!C49</f>
        <v>0.40570230137622021</v>
      </c>
      <c r="H51" s="486">
        <f>'Data Reduction Engine'!C213</f>
        <v>5.9430559651510286</v>
      </c>
      <c r="I51" s="500">
        <f>'Data Reduction Engine'!C59</f>
        <v>3.7550060829463061</v>
      </c>
      <c r="J51" s="487">
        <f>I51/H51</f>
        <v>0.63183084678403856</v>
      </c>
      <c r="K51" s="502">
        <f>'Data Reduction Engine'!C55</f>
        <v>6.3415895844257955E-2</v>
      </c>
      <c r="L51" s="488">
        <f>'Data Reduction Engine'!C222</f>
        <v>1.6000000000000001E-3</v>
      </c>
      <c r="M51" s="484">
        <f>'Data Reduction Engine'!C224</f>
        <v>8.977207724010566E-4</v>
      </c>
      <c r="N51" s="97"/>
      <c r="O51" s="623" t="s">
        <v>17</v>
      </c>
      <c r="P51" s="624"/>
      <c r="Q51" s="624"/>
      <c r="R51" s="625"/>
      <c r="S51" s="625" t="s">
        <v>41</v>
      </c>
      <c r="T51" s="626" t="s">
        <v>42</v>
      </c>
      <c r="V51" s="664" t="str">
        <f t="shared" ref="V51:V80" si="0">IF($X51&lt;&gt;"",IF($X51&lt;O$71,"x",""),"")</f>
        <v/>
      </c>
      <c r="W51" s="665" t="str">
        <f t="shared" ref="W51:W80" si="1">IF($X51&lt;&gt;"",IF($X51&lt;O$72,"x",""),"")</f>
        <v/>
      </c>
      <c r="X51" s="666">
        <f>IF(ISERROR(F51),"",ABS(($F51-O$52)/(BS$83*SQRT(T$53))))</f>
        <v>1.7527343569196301</v>
      </c>
      <c r="Y51" s="622"/>
      <c r="Z51" s="607"/>
      <c r="AA51" s="291"/>
      <c r="AB51" s="291"/>
      <c r="AK51" s="257"/>
      <c r="AL51" s="540"/>
      <c r="AM51" s="541"/>
      <c r="AN51" s="541"/>
      <c r="AO51" s="542"/>
      <c r="AP51" s="257"/>
      <c r="BJ51" s="437"/>
      <c r="BK51" s="364" t="str">
        <f>IF($N51&lt;&gt;"",A51,"")</f>
        <v/>
      </c>
      <c r="BL51" s="365" t="str">
        <f t="shared" ref="BL51:BL80" si="2">IF($N51&lt;&gt;"",B51,"")</f>
        <v/>
      </c>
      <c r="BM51" s="366" t="str">
        <f t="shared" ref="BM51:BM80" si="3">IF($N51&lt;&gt;"",C51,"")</f>
        <v/>
      </c>
      <c r="BN51" s="474"/>
      <c r="BO51" s="367" t="str">
        <f t="shared" ref="BO51:BO80" si="4">IF($N51&lt;&gt;"",D51,"")</f>
        <v/>
      </c>
      <c r="BP51" s="368" t="str">
        <f t="shared" ref="BP51:BP80" si="5">IF($N51&lt;&gt;"",E51,"")</f>
        <v/>
      </c>
      <c r="BQ51" s="468"/>
      <c r="BR51" s="367" t="str">
        <f t="shared" ref="BR51:BR80" si="6">IF($N51&lt;&gt;"",F51,"")</f>
        <v/>
      </c>
      <c r="BS51" s="368" t="str">
        <f t="shared" ref="BS51:BS80" si="7">IF($N51&lt;&gt;"",G51,"")</f>
        <v/>
      </c>
      <c r="BT51" s="369"/>
      <c r="BU51" s="370"/>
      <c r="BV51" s="371">
        <f>IF('Raw Data Input'!AT$56="off",'Data Reduction Engine'!C$77,'Data Reduction Engine'!C$90)</f>
        <v>4.8281919269647103E-2</v>
      </c>
      <c r="BW51" s="372">
        <f>'Data Reduction Engine'!C78</f>
        <v>2.7582586696861684</v>
      </c>
      <c r="BX51" s="371">
        <f>'Data Reduction Engine'!C69</f>
        <v>8.5755216260992764E-2</v>
      </c>
      <c r="BY51" s="372">
        <f>'Data Reduction Engine'!C70</f>
        <v>2.8139393672545783</v>
      </c>
      <c r="BZ51" s="371">
        <f>IF('Raw Data Input'!AT$56="off",'Data Reduction Engine'!C$71,'Data Reduction Engine'!C$84)</f>
        <v>1.2881746434560566E-2</v>
      </c>
      <c r="CA51" s="372">
        <f>'Data Reduction Engine'!C85</f>
        <v>0.49484964628897876</v>
      </c>
      <c r="CB51" s="373" t="str">
        <f>IF(N51&lt;&gt;"",((BY51/2)^2+(CA51/2)^2-(BW51/2)^2)/(2*(BY51/2)*(CA51/2)),"")</f>
        <v/>
      </c>
      <c r="CC51" s="373"/>
      <c r="CD51" s="374" t="str">
        <f>IF(N51&lt;&gt;"",(BW51*BV51)/100,"")</f>
        <v/>
      </c>
      <c r="CE51" s="375" t="str">
        <f>IF(N51&lt;&gt;"",1/((CD51/2)^2),"")</f>
        <v/>
      </c>
      <c r="CF51" s="375" t="str">
        <f>IF(N51&lt;&gt;"",BV51*CE51,"")</f>
        <v/>
      </c>
      <c r="CG51" s="374" t="str">
        <f>IF(N51&lt;&gt;"",(BY51*BX51)/100,"")</f>
        <v/>
      </c>
      <c r="CH51" s="375" t="str">
        <f>IF(N51&lt;&gt;"",1/((CG51/2)^2),"")</f>
        <v/>
      </c>
      <c r="CI51" s="375" t="str">
        <f>IF(N51&lt;&gt;"",BX51*CH51,"")</f>
        <v/>
      </c>
      <c r="CJ51" s="374" t="str">
        <f>IF(N51&lt;&gt;"",(CA51/100)*BZ51,"")</f>
        <v/>
      </c>
      <c r="CK51" s="375" t="str">
        <f>IF(N51&lt;&gt;"",1/((CJ51/2)^2),"")</f>
        <v/>
      </c>
      <c r="CL51" s="375" t="str">
        <f>IF(N51&lt;&gt;"",BZ51*CK51,"")</f>
        <v/>
      </c>
      <c r="CM51" s="376"/>
      <c r="CN51" s="377" t="str">
        <f>IF(N51&lt;&gt;"",(BL51-BL$83)^2*(1/(BM51/2)^2),"")</f>
        <v/>
      </c>
      <c r="CO51" s="377" t="str">
        <f>IF(N51&lt;&gt;"",(BO51-BO$83)^2*(1/(BP51/2)^2),"")</f>
        <v/>
      </c>
      <c r="CP51" s="377" t="str">
        <f t="shared" ref="CP51:CP80" si="8">IF(N51&lt;&gt;"",(BR51-BR$83)^2*(1/(BS51/2)^2),"")</f>
        <v/>
      </c>
      <c r="CS51" s="442"/>
      <c r="CT51" s="442"/>
      <c r="CU51" s="442"/>
      <c r="CV51" s="442"/>
      <c r="CW51" s="442"/>
      <c r="CX51" s="442"/>
      <c r="CY51" s="442"/>
      <c r="CZ51" s="442"/>
      <c r="DA51" s="442"/>
      <c r="DB51" s="442"/>
      <c r="DC51" s="442"/>
      <c r="DD51" s="442"/>
      <c r="DE51" s="442"/>
      <c r="DF51" s="442"/>
      <c r="DG51" s="442"/>
      <c r="DH51" s="442"/>
      <c r="DI51" s="442"/>
      <c r="DJ51" s="442"/>
      <c r="DK51" s="442"/>
      <c r="DL51" s="442"/>
      <c r="DM51" s="442"/>
      <c r="DN51" s="442"/>
      <c r="DO51" s="442"/>
      <c r="DP51" s="442"/>
      <c r="DQ51" s="442"/>
      <c r="DR51" s="442"/>
      <c r="DS51" s="442"/>
      <c r="DT51" s="442"/>
      <c r="DU51" s="442"/>
      <c r="DV51" s="442"/>
      <c r="DW51" s="442"/>
      <c r="DX51" s="442"/>
      <c r="DY51" s="442"/>
      <c r="DZ51" s="442"/>
      <c r="EA51" s="442"/>
      <c r="EB51" s="442"/>
      <c r="EC51" s="442"/>
      <c r="ED51" s="442"/>
      <c r="EE51" s="442"/>
      <c r="EF51" s="442"/>
      <c r="EG51" s="442"/>
      <c r="EH51" s="442"/>
      <c r="EI51" s="442"/>
      <c r="EJ51" s="442"/>
      <c r="EK51" s="442"/>
      <c r="EL51" s="442"/>
      <c r="EM51" s="442"/>
      <c r="EN51" s="442"/>
      <c r="EO51" s="442"/>
      <c r="EP51" s="442"/>
      <c r="EQ51" s="442"/>
      <c r="ER51" s="442"/>
      <c r="ES51" s="442"/>
      <c r="ET51" s="442"/>
      <c r="EU51" s="442"/>
      <c r="EV51" s="442"/>
      <c r="EW51" s="442"/>
      <c r="EX51" s="442"/>
      <c r="EY51" s="442"/>
      <c r="EZ51" s="442"/>
      <c r="FA51" s="442"/>
      <c r="FB51" s="442"/>
      <c r="FC51" s="442"/>
    </row>
    <row r="52" spans="1:159" ht="14" customHeight="1" x14ac:dyDescent="0.2">
      <c r="A52" s="740" t="str">
        <f>F4</f>
        <v>15WZ1-2 t2</v>
      </c>
      <c r="B52" s="286">
        <f>IF('Raw Data Input'!F$39&lt;&gt;"",IF('Raw Data Input'!AT$56="off",'Data Reduction Engine'!D$34,'Data Reduction Engine'!D$44),'Data Reduction Engine'!D$34)</f>
        <v>-3179.1824102401733</v>
      </c>
      <c r="C52" s="318">
        <f>'Data Reduction Engine'!D45</f>
        <v>24138.206999805469</v>
      </c>
      <c r="D52" s="255">
        <f>'Data Reduction Engine'!D46</f>
        <v>34.189749017001759</v>
      </c>
      <c r="E52" s="288">
        <f>'Data Reduction Engine'!D47</f>
        <v>161.38740698084959</v>
      </c>
      <c r="F52" s="255">
        <f>IF('Raw Data Input'!AT$56="off",'Data Reduction Engine'!D$38,'Data Reduction Engine'!D$48)</f>
        <v>89.248130218423114</v>
      </c>
      <c r="G52" s="288">
        <f>'Data Reduction Engine'!D49</f>
        <v>5.1859030164977256</v>
      </c>
      <c r="H52" s="256">
        <f>'Data Reduction Engine'!D213</f>
        <v>4.1966562749250818</v>
      </c>
      <c r="I52" s="302">
        <f>'Data Reduction Engine'!D59</f>
        <v>0.23375603581411658</v>
      </c>
      <c r="J52" s="286">
        <f t="shared" ref="J52:J69" si="9">I52/H52</f>
        <v>5.5700543599627915E-2</v>
      </c>
      <c r="K52" s="503">
        <f>'Data Reduction Engine'!D55</f>
        <v>0.19118354897279011</v>
      </c>
      <c r="L52" s="315">
        <f>'Data Reduction Engine'!D222</f>
        <v>1.6000000000000001E-3</v>
      </c>
      <c r="M52" s="313">
        <f>'Data Reduction Engine'!D224</f>
        <v>7.5418377999554446E-4</v>
      </c>
      <c r="N52" s="97" t="s">
        <v>615</v>
      </c>
      <c r="O52" s="685">
        <f>BR83</f>
        <v>89.187557213971644</v>
      </c>
      <c r="P52" s="632" t="str">
        <f>CONCATENATE("± ",ROUND(BS83,3)," (",ROUND(BS85,2),") [",ROUND(BS87,2),"]")</f>
        <v>± 1.555 (1.56) [1.56]</v>
      </c>
      <c r="Q52" s="633"/>
      <c r="R52" s="634" t="s">
        <v>43</v>
      </c>
      <c r="S52" s="635">
        <f>BS82</f>
        <v>1.8904483716594427</v>
      </c>
      <c r="T52" s="636">
        <f>CHIDIST(S52*(T53-1),T53-1)</f>
        <v>9.2329473451634725E-2</v>
      </c>
      <c r="V52" s="667" t="str">
        <f t="shared" si="0"/>
        <v>x</v>
      </c>
      <c r="W52" s="668" t="str">
        <f t="shared" si="1"/>
        <v>x</v>
      </c>
      <c r="X52" s="669">
        <f t="shared" ref="X52:X78" si="10">IF(ISERROR(F52),"",ABS(($F52-O$52)/(BS$83*SQRT(T$53))))</f>
        <v>1.5901107315402414E-2</v>
      </c>
      <c r="Y52" s="622"/>
      <c r="Z52" s="607"/>
      <c r="AA52" s="291"/>
      <c r="AB52" s="291"/>
      <c r="AD52" s="732" t="s">
        <v>717</v>
      </c>
      <c r="AE52" s="733"/>
      <c r="AF52" s="733"/>
      <c r="AG52" s="734"/>
      <c r="AK52" s="320"/>
      <c r="AL52" s="321"/>
      <c r="AM52" s="321"/>
      <c r="AN52" s="321"/>
      <c r="AO52" s="321"/>
      <c r="AP52" s="322"/>
      <c r="AR52" s="320"/>
      <c r="AS52" s="321"/>
      <c r="AT52" s="321"/>
      <c r="AU52" s="321"/>
      <c r="AV52" s="321"/>
      <c r="AW52" s="322"/>
      <c r="BJ52" s="437"/>
      <c r="BK52" s="364" t="str">
        <f t="shared" ref="BK52:BK80" si="11">IF($N52&lt;&gt;"",A52,"")</f>
        <v>15WZ1-2 t2</v>
      </c>
      <c r="BL52" s="378">
        <f t="shared" si="2"/>
        <v>-3179.1824102401733</v>
      </c>
      <c r="BM52" s="379">
        <f t="shared" si="3"/>
        <v>24138.206999805469</v>
      </c>
      <c r="BN52" s="474"/>
      <c r="BO52" s="380">
        <f t="shared" si="4"/>
        <v>34.189749017001759</v>
      </c>
      <c r="BP52" s="381">
        <f t="shared" si="5"/>
        <v>161.38740698084959</v>
      </c>
      <c r="BQ52" s="468"/>
      <c r="BR52" s="380">
        <f t="shared" si="6"/>
        <v>89.248130218423114</v>
      </c>
      <c r="BS52" s="381">
        <f t="shared" si="7"/>
        <v>5.1859030164977256</v>
      </c>
      <c r="BT52" s="369"/>
      <c r="BU52" s="370"/>
      <c r="BV52" s="371">
        <f>IF('Raw Data Input'!AT$56="off",'Data Reduction Engine'!D$77,'Data Reduction Engine'!D$90)</f>
        <v>1.7815838496368263E-2</v>
      </c>
      <c r="BW52" s="372">
        <f>'Data Reduction Engine'!D78</f>
        <v>479.39632873018121</v>
      </c>
      <c r="BX52" s="371">
        <f>'Data Reduction Engine'!D69</f>
        <v>3.4245085214318446E-2</v>
      </c>
      <c r="BY52" s="372">
        <f>'Data Reduction Engine'!D70</f>
        <v>480.02620624094737</v>
      </c>
      <c r="BZ52" s="371">
        <f>IF('Raw Data Input'!AT$56="off",'Data Reduction Engine'!D$71,'Data Reduction Engine'!D$84)</f>
        <v>1.3940896708129098E-2</v>
      </c>
      <c r="CA52" s="372">
        <f>'Data Reduction Engine'!D85</f>
        <v>5.8509732979445088</v>
      </c>
      <c r="CB52" s="373">
        <f t="shared" ref="CB52:CB80" si="12">IF(N52&lt;&gt;"",((BY52/2)^2+(CA52/2)^2-(BW52/2)^2)/(2*(BY52/2)*(CA52/2)),"")</f>
        <v>0.11367725956868359</v>
      </c>
      <c r="CC52" s="373"/>
      <c r="CD52" s="374">
        <f t="shared" ref="CD52:CD80" si="13">IF(N52&lt;&gt;"",(BW52*BV52)/100,"")</f>
        <v>8.540847568408777E-2</v>
      </c>
      <c r="CE52" s="375">
        <f t="shared" ref="CE52:CE80" si="14">IF(N52&lt;&gt;"",1/((CD52/2)^2),"")</f>
        <v>548.35025463496004</v>
      </c>
      <c r="CF52" s="375">
        <f t="shared" ref="CF52:CF80" si="15">IF(N52&lt;&gt;"",BV52*CE52,"")</f>
        <v>9.7693195760188605</v>
      </c>
      <c r="CG52" s="374">
        <f t="shared" ref="CG52:CG80" si="16">IF(N52&lt;&gt;"",(BY52*BX52)/100,"")</f>
        <v>0.16438538337827244</v>
      </c>
      <c r="CH52" s="375">
        <f t="shared" ref="CH52:CH80" si="17">IF(N52&lt;&gt;"",1/((CG52/2)^2),"")</f>
        <v>148.02449688016264</v>
      </c>
      <c r="CI52" s="375">
        <f t="shared" ref="CI52:CI80" si="18">IF(N52&lt;&gt;"",BX52*CH52,"")</f>
        <v>5.0691115094677848</v>
      </c>
      <c r="CJ52" s="374">
        <f t="shared" ref="CJ52:CJ80" si="19">IF(N52&lt;&gt;"",(CA52/100)*BZ52,"")</f>
        <v>8.1567814388665858E-4</v>
      </c>
      <c r="CK52" s="375">
        <f t="shared" ref="CK52:CK80" si="20">IF(N52&lt;&gt;"",1/((CJ52/2)^2),"")</f>
        <v>6012046.628683229</v>
      </c>
      <c r="CL52" s="375">
        <f t="shared" ref="CL52:CL80" si="21">IF(N52&lt;&gt;"",BZ52*CK52,"")</f>
        <v>83813.321054928674</v>
      </c>
      <c r="CM52" s="376"/>
      <c r="CN52" s="377">
        <f t="shared" ref="CN52:CN80" si="22">IF(N52&lt;&gt;"",(BL52-BL$83)^2*(1/(BM52/2)^2),"")</f>
        <v>6.9046589293711311E-2</v>
      </c>
      <c r="CO52" s="377">
        <f t="shared" ref="CO52:CO80" si="23">IF(N52&lt;&gt;"",(BO52-BO$83)^2*(1/(BP52/2)^2),"")</f>
        <v>0.41296603801213588</v>
      </c>
      <c r="CP52" s="377">
        <f t="shared" si="8"/>
        <v>5.4571946030404625E-4</v>
      </c>
      <c r="CS52" s="442"/>
      <c r="CT52" s="442"/>
      <c r="CU52" s="442"/>
      <c r="CV52" s="442"/>
      <c r="CW52" s="442"/>
      <c r="CX52" s="442"/>
      <c r="CY52" s="442"/>
      <c r="CZ52" s="442"/>
      <c r="DA52" s="442"/>
      <c r="DB52" s="442"/>
      <c r="DC52" s="442"/>
      <c r="DD52" s="442"/>
      <c r="DE52" s="442"/>
      <c r="DF52" s="442"/>
      <c r="DG52" s="442"/>
      <c r="DH52" s="442"/>
      <c r="DI52" s="442"/>
      <c r="DJ52" s="442"/>
      <c r="DK52" s="442"/>
      <c r="DL52" s="442"/>
      <c r="DM52" s="442"/>
      <c r="DN52" s="442"/>
      <c r="DO52" s="442"/>
      <c r="DP52" s="442"/>
      <c r="DQ52" s="442"/>
      <c r="DR52" s="442"/>
      <c r="DS52" s="442"/>
      <c r="DT52" s="442"/>
      <c r="DU52" s="442"/>
      <c r="DV52" s="442"/>
      <c r="DW52" s="442"/>
      <c r="DX52" s="442"/>
      <c r="DY52" s="442"/>
      <c r="DZ52" s="442"/>
      <c r="EA52" s="442"/>
      <c r="EB52" s="442"/>
      <c r="EC52" s="442"/>
      <c r="ED52" s="442"/>
      <c r="EE52" s="442"/>
      <c r="EF52" s="442"/>
      <c r="EG52" s="442"/>
      <c r="EH52" s="442"/>
      <c r="EI52" s="442"/>
      <c r="EJ52" s="442"/>
      <c r="EK52" s="442"/>
      <c r="EL52" s="442"/>
      <c r="EM52" s="442"/>
      <c r="EN52" s="442"/>
      <c r="EO52" s="442"/>
      <c r="EP52" s="442"/>
      <c r="EQ52" s="442"/>
      <c r="ER52" s="442"/>
      <c r="ES52" s="442"/>
      <c r="ET52" s="442"/>
      <c r="EU52" s="442"/>
      <c r="EV52" s="442"/>
      <c r="EW52" s="442"/>
      <c r="EX52" s="442"/>
      <c r="EY52" s="442"/>
      <c r="EZ52" s="442"/>
      <c r="FA52" s="442"/>
      <c r="FB52" s="442"/>
      <c r="FC52" s="442"/>
    </row>
    <row r="53" spans="1:159" ht="14" customHeight="1" x14ac:dyDescent="0.2">
      <c r="A53" s="741" t="str">
        <f>G4</f>
        <v>15WZ1-2 t3a</v>
      </c>
      <c r="B53" s="479">
        <f>IF('Raw Data Input'!G$39&lt;&gt;"",IF('Raw Data Input'!AT$56="off",'Data Reduction Engine'!E$34,'Data Reduction Engine'!E$44),'Data Reduction Engine'!E$34)</f>
        <v>-169.28613185882568</v>
      </c>
      <c r="C53" s="527">
        <f>'Data Reduction Engine'!E45</f>
        <v>1098.3644956241633</v>
      </c>
      <c r="D53" s="480">
        <f>'Data Reduction Engine'!E46</f>
        <v>80.837716006427286</v>
      </c>
      <c r="E53" s="481">
        <f>'Data Reduction Engine'!E47</f>
        <v>34.524808955067037</v>
      </c>
      <c r="F53" s="480">
        <f>IF('Raw Data Input'!AT$56="off",'Data Reduction Engine'!E$38,'Data Reduction Engine'!E$48)</f>
        <v>89.537996403995436</v>
      </c>
      <c r="G53" s="481">
        <f>'Data Reduction Engine'!E49</f>
        <v>3.8543117199236301</v>
      </c>
      <c r="H53" s="482">
        <f>'Data Reduction Engine'!E213</f>
        <v>6.4921129439243863</v>
      </c>
      <c r="I53" s="501">
        <f>'Data Reduction Engine'!E59</f>
        <v>0.48551645013727485</v>
      </c>
      <c r="J53" s="479">
        <f t="shared" si="9"/>
        <v>7.4785582803460496E-2</v>
      </c>
      <c r="K53" s="504">
        <f>'Data Reduction Engine'!E55</f>
        <v>0.2257416469952335</v>
      </c>
      <c r="L53" s="483">
        <f>'Data Reduction Engine'!E222</f>
        <v>1.6000000000000001E-3</v>
      </c>
      <c r="M53" s="484">
        <f>'Data Reduction Engine'!E224</f>
        <v>8.5824070651780858E-4</v>
      </c>
      <c r="N53" s="97" t="s">
        <v>615</v>
      </c>
      <c r="O53" s="637"/>
      <c r="P53" s="632" t="str">
        <f>CONCATENATE("± ",ROUND(BT83,3)," (",ROUND(BT85,2),") [",ROUND(BT87,2),"]")</f>
        <v>± 2.748 (2.75) [2.75]</v>
      </c>
      <c r="Q53" s="638"/>
      <c r="R53" s="634" t="s">
        <v>469</v>
      </c>
      <c r="S53" s="639" t="s">
        <v>32</v>
      </c>
      <c r="T53" s="597">
        <f>COUNTA(N$51:N$80)</f>
        <v>6</v>
      </c>
      <c r="V53" s="667" t="str">
        <f t="shared" si="0"/>
        <v>x</v>
      </c>
      <c r="W53" s="668" t="str">
        <f t="shared" si="1"/>
        <v>x</v>
      </c>
      <c r="X53" s="669">
        <f t="shared" si="10"/>
        <v>9.1994300407461094E-2</v>
      </c>
      <c r="AA53" s="291"/>
      <c r="AB53" s="291"/>
      <c r="AD53" s="735" t="s">
        <v>718</v>
      </c>
      <c r="AE53" s="736"/>
      <c r="AF53" s="736"/>
      <c r="AG53" s="737"/>
      <c r="AK53" s="759" t="s">
        <v>354</v>
      </c>
      <c r="AL53" s="760"/>
      <c r="AM53" s="760"/>
      <c r="AN53" s="760"/>
      <c r="AO53" s="760"/>
      <c r="AP53" s="761"/>
      <c r="AQ53" s="344"/>
      <c r="AR53" s="784" t="s">
        <v>3</v>
      </c>
      <c r="AS53" s="771"/>
      <c r="AT53" s="771"/>
      <c r="AU53" s="771"/>
      <c r="AV53" s="771"/>
      <c r="AW53" s="785"/>
      <c r="BJ53" s="437"/>
      <c r="BK53" s="364" t="str">
        <f t="shared" si="11"/>
        <v>15WZ1-2 t3a</v>
      </c>
      <c r="BL53" s="378">
        <f t="shared" si="2"/>
        <v>-169.28613185882568</v>
      </c>
      <c r="BM53" s="379">
        <f t="shared" si="3"/>
        <v>1098.3644956241633</v>
      </c>
      <c r="BN53" s="474"/>
      <c r="BO53" s="380">
        <f t="shared" si="4"/>
        <v>80.837716006427286</v>
      </c>
      <c r="BP53" s="381">
        <f t="shared" si="5"/>
        <v>34.524808955067037</v>
      </c>
      <c r="BQ53" s="468"/>
      <c r="BR53" s="380">
        <f t="shared" si="6"/>
        <v>89.537996403995436</v>
      </c>
      <c r="BS53" s="381">
        <f t="shared" si="7"/>
        <v>3.8543117199236301</v>
      </c>
      <c r="BT53" s="369"/>
      <c r="BU53" s="370"/>
      <c r="BV53" s="371">
        <f>IF('Raw Data Input'!AT$56="off",'Data Reduction Engine'!E$77,'Data Reduction Engine'!E$90)</f>
        <v>4.2971107197951199E-2</v>
      </c>
      <c r="BW53" s="372">
        <f>'Data Reduction Engine'!E78</f>
        <v>44.122900467639028</v>
      </c>
      <c r="BX53" s="371">
        <f>'Data Reduction Engine'!E69</f>
        <v>8.2867943338936198E-2</v>
      </c>
      <c r="BY53" s="372">
        <f>'Data Reduction Engine'!E70</f>
        <v>44.43143196206605</v>
      </c>
      <c r="BZ53" s="371">
        <f>IF('Raw Data Input'!AT$56="off",'Data Reduction Engine'!E$71,'Data Reduction Engine'!E$84)</f>
        <v>1.39864900845026E-2</v>
      </c>
      <c r="CA53" s="372">
        <f>'Data Reduction Engine'!E85</f>
        <v>4.3346302452446617</v>
      </c>
      <c r="CB53" s="373">
        <f t="shared" si="12"/>
        <v>0.11971001399026793</v>
      </c>
      <c r="CC53" s="373"/>
      <c r="CD53" s="374">
        <f t="shared" si="13"/>
        <v>1.8960098858794475E-2</v>
      </c>
      <c r="CE53" s="375">
        <f t="shared" si="14"/>
        <v>11127.018149898988</v>
      </c>
      <c r="CF53" s="375">
        <f t="shared" si="15"/>
        <v>478.14028971285802</v>
      </c>
      <c r="CG53" s="374">
        <f t="shared" si="16"/>
        <v>3.6819413863002887E-2</v>
      </c>
      <c r="CH53" s="375">
        <f t="shared" si="17"/>
        <v>2950.5722267601795</v>
      </c>
      <c r="CI53" s="375">
        <f t="shared" si="18"/>
        <v>244.50785210460137</v>
      </c>
      <c r="CJ53" s="374">
        <f t="shared" si="19"/>
        <v>6.0626262945099533E-4</v>
      </c>
      <c r="CK53" s="375">
        <f t="shared" si="20"/>
        <v>10882743.513921425</v>
      </c>
      <c r="CL53" s="375">
        <f t="shared" si="21"/>
        <v>152211.384249647</v>
      </c>
      <c r="CM53" s="376"/>
      <c r="CN53" s="377">
        <f t="shared" si="22"/>
        <v>8.6444989698926333E-2</v>
      </c>
      <c r="CO53" s="377">
        <f t="shared" si="23"/>
        <v>9.101251767891555E-2</v>
      </c>
      <c r="CP53" s="377">
        <f t="shared" si="8"/>
        <v>3.3066760962289582E-2</v>
      </c>
      <c r="CS53" s="442"/>
      <c r="CT53" s="442"/>
      <c r="CU53" s="442"/>
      <c r="CV53" s="442"/>
      <c r="CW53" s="442"/>
      <c r="CX53" s="442"/>
      <c r="CY53" s="442"/>
      <c r="CZ53" s="442"/>
      <c r="DA53" s="442"/>
      <c r="DB53" s="442"/>
      <c r="DC53" s="442"/>
      <c r="DD53" s="442"/>
      <c r="DE53" s="442"/>
      <c r="DF53" s="442"/>
      <c r="DG53" s="442"/>
      <c r="DH53" s="442"/>
      <c r="DI53" s="442"/>
      <c r="DJ53" s="442"/>
      <c r="DK53" s="442"/>
      <c r="DL53" s="442"/>
      <c r="DM53" s="442"/>
      <c r="DN53" s="442"/>
      <c r="DO53" s="442"/>
      <c r="DP53" s="442"/>
      <c r="DQ53" s="442"/>
      <c r="DR53" s="442"/>
      <c r="DS53" s="442"/>
      <c r="DT53" s="442"/>
      <c r="DU53" s="442"/>
      <c r="DV53" s="442"/>
      <c r="DW53" s="442"/>
      <c r="DX53" s="442"/>
      <c r="DY53" s="442"/>
      <c r="DZ53" s="442"/>
      <c r="EA53" s="442"/>
      <c r="EB53" s="442"/>
      <c r="EC53" s="442"/>
      <c r="ED53" s="442"/>
      <c r="EE53" s="442"/>
      <c r="EF53" s="442"/>
      <c r="EG53" s="442"/>
      <c r="EH53" s="442"/>
      <c r="EI53" s="442"/>
      <c r="EJ53" s="442"/>
      <c r="EK53" s="442"/>
      <c r="EL53" s="442"/>
      <c r="EM53" s="442"/>
      <c r="EN53" s="442"/>
      <c r="EO53" s="442"/>
      <c r="EP53" s="442"/>
      <c r="EQ53" s="442"/>
      <c r="ER53" s="442"/>
      <c r="ES53" s="442"/>
      <c r="ET53" s="442"/>
      <c r="EU53" s="442"/>
      <c r="EV53" s="442"/>
      <c r="EW53" s="442"/>
      <c r="EX53" s="442"/>
      <c r="EY53" s="442"/>
      <c r="EZ53" s="442"/>
      <c r="FA53" s="442"/>
      <c r="FB53" s="442"/>
      <c r="FC53" s="442"/>
    </row>
    <row r="54" spans="1:159" ht="14" customHeight="1" x14ac:dyDescent="0.15">
      <c r="A54" s="270" t="str">
        <f>H4</f>
        <v>15WZ1-2 t3b</v>
      </c>
      <c r="B54" s="286">
        <f>IF('Raw Data Input'!H$39&lt;&gt;"",IF('Raw Data Input'!AT$56="off",'Data Reduction Engine'!F$34,'Data Reduction Engine'!F$44),'Data Reduction Engine'!F$34)</f>
        <v>151.49533748626709</v>
      </c>
      <c r="C54" s="318">
        <f>'Data Reduction Engine'!F45</f>
        <v>1220.6642568465891</v>
      </c>
      <c r="D54" s="255">
        <f>'Data Reduction Engine'!F46</f>
        <v>79.716811513610608</v>
      </c>
      <c r="E54" s="288">
        <f>'Data Reduction Engine'!F47</f>
        <v>39.871866017336195</v>
      </c>
      <c r="F54" s="255">
        <f>IF('Raw Data Input'!AT$56="off",'Data Reduction Engine'!F$38,'Data Reduction Engine'!F$48)</f>
        <v>77.34168100457083</v>
      </c>
      <c r="G54" s="288">
        <f>'Data Reduction Engine'!F49</f>
        <v>7.4536846998348354</v>
      </c>
      <c r="H54" s="256">
        <f>'Data Reduction Engine'!F213</f>
        <v>20.207309093087229</v>
      </c>
      <c r="I54" s="302">
        <f>'Data Reduction Engine'!F59</f>
        <v>0.63363342303421444</v>
      </c>
      <c r="J54" s="286">
        <f t="shared" si="9"/>
        <v>3.1356645267081887E-2</v>
      </c>
      <c r="K54" s="503">
        <f>'Data Reduction Engine'!F55</f>
        <v>-0.10743796629861066</v>
      </c>
      <c r="L54" s="315">
        <f>'Data Reduction Engine'!F222</f>
        <v>1.6000000000000001E-3</v>
      </c>
      <c r="M54" s="313">
        <f>'Data Reduction Engine'!F224</f>
        <v>8.3591527642644825E-4</v>
      </c>
      <c r="N54" s="97"/>
      <c r="O54" s="640"/>
      <c r="P54" s="641"/>
      <c r="Q54" s="642"/>
      <c r="R54" s="643"/>
      <c r="S54" s="644"/>
      <c r="T54" s="645"/>
      <c r="V54" s="667" t="str">
        <f t="shared" si="0"/>
        <v/>
      </c>
      <c r="W54" s="668" t="str">
        <f t="shared" si="1"/>
        <v/>
      </c>
      <c r="X54" s="669">
        <f t="shared" si="10"/>
        <v>3.1096781570669352</v>
      </c>
      <c r="AA54" s="291"/>
      <c r="AB54" s="291"/>
      <c r="AD54" s="710" t="s">
        <v>719</v>
      </c>
      <c r="AE54" s="711" t="s">
        <v>204</v>
      </c>
      <c r="AF54" s="711"/>
      <c r="AG54" s="712">
        <v>0.62989505000000001</v>
      </c>
      <c r="AK54" s="258"/>
      <c r="AL54" s="540" t="s">
        <v>355</v>
      </c>
      <c r="AM54" s="543">
        <v>0.1</v>
      </c>
      <c r="AN54" s="544">
        <v>0.02</v>
      </c>
      <c r="AO54" s="542" t="s">
        <v>531</v>
      </c>
      <c r="AP54" s="259"/>
      <c r="AR54" s="258"/>
      <c r="AS54" s="549" t="s">
        <v>542</v>
      </c>
      <c r="AT54" s="594" t="s">
        <v>133</v>
      </c>
      <c r="AU54" s="595"/>
      <c r="AV54" s="257"/>
      <c r="AW54" s="259"/>
      <c r="AX54" s="546"/>
      <c r="AY54" s="546"/>
      <c r="AZ54" s="546"/>
      <c r="BA54" s="546"/>
      <c r="BB54" s="546"/>
      <c r="BC54" s="546"/>
      <c r="BD54" s="546"/>
      <c r="BE54" s="546"/>
      <c r="BF54" s="546"/>
      <c r="BG54" s="546"/>
      <c r="BH54" s="546"/>
      <c r="BJ54" s="437"/>
      <c r="BK54" s="364" t="str">
        <f t="shared" si="11"/>
        <v/>
      </c>
      <c r="BL54" s="378" t="str">
        <f t="shared" si="2"/>
        <v/>
      </c>
      <c r="BM54" s="379" t="str">
        <f t="shared" si="3"/>
        <v/>
      </c>
      <c r="BN54" s="474"/>
      <c r="BO54" s="380" t="str">
        <f t="shared" si="4"/>
        <v/>
      </c>
      <c r="BP54" s="381" t="str">
        <f t="shared" si="5"/>
        <v/>
      </c>
      <c r="BQ54" s="468"/>
      <c r="BR54" s="380" t="str">
        <f t="shared" si="6"/>
        <v/>
      </c>
      <c r="BS54" s="381" t="str">
        <f t="shared" si="7"/>
        <v/>
      </c>
      <c r="BT54" s="369"/>
      <c r="BU54" s="370"/>
      <c r="BV54" s="371">
        <f>IF('Raw Data Input'!AT$56="off",'Data Reduction Engine'!F$77,'Data Reduction Engine'!F$90)</f>
        <v>4.9076664758521148E-2</v>
      </c>
      <c r="BW54" s="372">
        <f>'Data Reduction Engine'!F78</f>
        <v>52.123056410398547</v>
      </c>
      <c r="BX54" s="371">
        <f>'Data Reduction Engine'!F69</f>
        <v>8.1673200311352737E-2</v>
      </c>
      <c r="BY54" s="372">
        <f>'Data Reduction Engine'!F70</f>
        <v>52.005963489048504</v>
      </c>
      <c r="BZ54" s="371">
        <f>IF('Raw Data Input'!AT$56="off",'Data Reduction Engine'!F$71,'Data Reduction Engine'!F$84)</f>
        <v>1.2069888502498342E-2</v>
      </c>
      <c r="CA54" s="372">
        <f>'Data Reduction Engine'!F85</f>
        <v>9.6952733380083149</v>
      </c>
      <c r="CB54" s="373" t="str">
        <f t="shared" si="12"/>
        <v/>
      </c>
      <c r="CC54" s="373"/>
      <c r="CD54" s="374" t="str">
        <f t="shared" si="13"/>
        <v/>
      </c>
      <c r="CE54" s="375" t="str">
        <f t="shared" si="14"/>
        <v/>
      </c>
      <c r="CF54" s="375" t="str">
        <f t="shared" si="15"/>
        <v/>
      </c>
      <c r="CG54" s="374" t="str">
        <f t="shared" si="16"/>
        <v/>
      </c>
      <c r="CH54" s="375" t="str">
        <f t="shared" si="17"/>
        <v/>
      </c>
      <c r="CI54" s="375" t="str">
        <f t="shared" si="18"/>
        <v/>
      </c>
      <c r="CJ54" s="374" t="str">
        <f t="shared" si="19"/>
        <v/>
      </c>
      <c r="CK54" s="375" t="str">
        <f t="shared" si="20"/>
        <v/>
      </c>
      <c r="CL54" s="375" t="str">
        <f t="shared" si="21"/>
        <v/>
      </c>
      <c r="CM54" s="376"/>
      <c r="CN54" s="377" t="str">
        <f t="shared" si="22"/>
        <v/>
      </c>
      <c r="CO54" s="377" t="str">
        <f t="shared" si="23"/>
        <v/>
      </c>
      <c r="CP54" s="377" t="str">
        <f t="shared" si="8"/>
        <v/>
      </c>
      <c r="CS54" s="442"/>
      <c r="CT54" s="442"/>
      <c r="CU54" s="442"/>
      <c r="CV54" s="442"/>
      <c r="CW54" s="442"/>
      <c r="CX54" s="442"/>
      <c r="CY54" s="442"/>
      <c r="CZ54" s="442"/>
      <c r="DA54" s="442"/>
      <c r="DB54" s="442"/>
      <c r="DC54" s="442"/>
      <c r="DD54" s="442"/>
      <c r="DE54" s="442"/>
      <c r="DF54" s="442"/>
      <c r="DG54" s="442"/>
      <c r="DH54" s="442"/>
      <c r="DI54" s="442"/>
      <c r="DJ54" s="442"/>
      <c r="DK54" s="442"/>
      <c r="DL54" s="442"/>
      <c r="DM54" s="442"/>
      <c r="DN54" s="442"/>
      <c r="DO54" s="442"/>
      <c r="DP54" s="442"/>
      <c r="DQ54" s="442"/>
      <c r="DR54" s="442"/>
      <c r="DS54" s="442"/>
      <c r="DT54" s="442"/>
      <c r="DU54" s="442"/>
      <c r="DV54" s="442"/>
      <c r="DW54" s="442"/>
      <c r="DX54" s="442"/>
      <c r="DY54" s="442"/>
      <c r="DZ54" s="442"/>
      <c r="EA54" s="442"/>
      <c r="EB54" s="442"/>
      <c r="EC54" s="442"/>
      <c r="ED54" s="442"/>
      <c r="EE54" s="442"/>
      <c r="EF54" s="442"/>
      <c r="EG54" s="442"/>
      <c r="EH54" s="442"/>
      <c r="EI54" s="442"/>
      <c r="EJ54" s="442"/>
      <c r="EK54" s="442"/>
      <c r="EL54" s="442"/>
      <c r="EM54" s="442"/>
      <c r="EN54" s="442"/>
      <c r="EO54" s="442"/>
      <c r="EP54" s="442"/>
      <c r="EQ54" s="442"/>
      <c r="ER54" s="442"/>
      <c r="ES54" s="442"/>
      <c r="ET54" s="442"/>
      <c r="EU54" s="442"/>
      <c r="EV54" s="442"/>
      <c r="EW54" s="442"/>
      <c r="EX54" s="442"/>
      <c r="EY54" s="442"/>
      <c r="EZ54" s="442"/>
      <c r="FA54" s="442"/>
      <c r="FB54" s="442"/>
      <c r="FC54" s="442"/>
    </row>
    <row r="55" spans="1:159" ht="14" customHeight="1" x14ac:dyDescent="0.2">
      <c r="A55" s="270" t="str">
        <f>I4</f>
        <v>15WZ1-2 t4</v>
      </c>
      <c r="B55" s="286">
        <f>IF('Raw Data Input'!I$39&lt;&gt;"",IF('Raw Data Input'!AT$56="off",'Data Reduction Engine'!G$34,'Data Reduction Engine'!G$44),'Data Reduction Engine'!G$34)</f>
        <v>-1101.9545793533325</v>
      </c>
      <c r="C55" s="318">
        <f>'Data Reduction Engine'!G45</f>
        <v>1743.1117818945399</v>
      </c>
      <c r="D55" s="255">
        <f>'Data Reduction Engine'!G46</f>
        <v>59.921641273803388</v>
      </c>
      <c r="E55" s="288">
        <f>'Data Reduction Engine'!G47</f>
        <v>33.691981018354731</v>
      </c>
      <c r="F55" s="255">
        <f>IF('Raw Data Input'!AT$56="off",'Data Reduction Engine'!G$38,'Data Reduction Engine'!G$48)</f>
        <v>92.323254299680855</v>
      </c>
      <c r="G55" s="288">
        <f>'Data Reduction Engine'!G49</f>
        <v>5.205477845887299</v>
      </c>
      <c r="H55" s="256">
        <f>'Data Reduction Engine'!G213</f>
        <v>18.136688609964917</v>
      </c>
      <c r="I55" s="302">
        <f>'Data Reduction Engine'!G59</f>
        <v>1.0678709036867373</v>
      </c>
      <c r="J55" s="286">
        <f t="shared" si="9"/>
        <v>5.8879044937674707E-2</v>
      </c>
      <c r="K55" s="503">
        <f>'Data Reduction Engine'!G55</f>
        <v>0.23750957270335615</v>
      </c>
      <c r="L55" s="315">
        <f>'Data Reduction Engine'!G222</f>
        <v>1.6000000000000001E-3</v>
      </c>
      <c r="M55" s="313">
        <f>'Data Reduction Engine'!G224</f>
        <v>7.2875260117511418E-4</v>
      </c>
      <c r="N55" s="97" t="s">
        <v>615</v>
      </c>
      <c r="O55" s="627" t="s">
        <v>18</v>
      </c>
      <c r="P55" s="628"/>
      <c r="Q55" s="628"/>
      <c r="R55" s="629"/>
      <c r="S55" s="629" t="s">
        <v>41</v>
      </c>
      <c r="T55" s="630" t="s">
        <v>42</v>
      </c>
      <c r="V55" s="667" t="str">
        <f t="shared" si="0"/>
        <v>x</v>
      </c>
      <c r="W55" s="668" t="str">
        <f t="shared" si="1"/>
        <v>x</v>
      </c>
      <c r="X55" s="669">
        <f t="shared" si="10"/>
        <v>0.82315639318179257</v>
      </c>
      <c r="AA55" s="291"/>
      <c r="AB55" s="291"/>
      <c r="AD55" s="713"/>
      <c r="AE55" s="714" t="s">
        <v>205</v>
      </c>
      <c r="AF55" s="714"/>
      <c r="AG55" s="715">
        <v>5.920621E-3</v>
      </c>
      <c r="AK55" s="548"/>
      <c r="AL55" s="549" t="s">
        <v>356</v>
      </c>
      <c r="AM55" s="550">
        <v>0.16</v>
      </c>
      <c r="AN55" s="551">
        <v>0.03</v>
      </c>
      <c r="AO55" s="542" t="s">
        <v>531</v>
      </c>
      <c r="AP55" s="259"/>
      <c r="AR55" s="258"/>
      <c r="AS55" s="549" t="s">
        <v>541</v>
      </c>
      <c r="AT55" s="596">
        <v>0.2</v>
      </c>
      <c r="AU55" s="686">
        <v>0.05</v>
      </c>
      <c r="AV55" s="542" t="s">
        <v>533</v>
      </c>
      <c r="AW55" s="259"/>
      <c r="BJ55" s="437"/>
      <c r="BK55" s="364" t="str">
        <f t="shared" si="11"/>
        <v>15WZ1-2 t4</v>
      </c>
      <c r="BL55" s="378">
        <f t="shared" si="2"/>
        <v>-1101.9545793533325</v>
      </c>
      <c r="BM55" s="379">
        <f t="shared" si="3"/>
        <v>1743.1117818945399</v>
      </c>
      <c r="BN55" s="474"/>
      <c r="BO55" s="489">
        <f t="shared" si="4"/>
        <v>59.921641273803388</v>
      </c>
      <c r="BP55" s="490">
        <f t="shared" si="5"/>
        <v>33.691981018354731</v>
      </c>
      <c r="BQ55" s="468"/>
      <c r="BR55" s="489">
        <f>IF($N55&lt;&gt;"",F55,"")</f>
        <v>92.323254299680855</v>
      </c>
      <c r="BS55" s="490">
        <f t="shared" si="7"/>
        <v>5.205477845887299</v>
      </c>
      <c r="BT55" s="369"/>
      <c r="BU55" s="370"/>
      <c r="BV55" s="371">
        <f>IF('Raw Data Input'!AT$56="off",'Data Reduction Engine'!G$77,'Data Reduction Engine'!G$90)</f>
        <v>3.0564951225558468E-2</v>
      </c>
      <c r="BW55" s="372">
        <f>'Data Reduction Engine'!G78</f>
        <v>57.5077621378028</v>
      </c>
      <c r="BX55" s="371">
        <f>'Data Reduction Engine'!G69</f>
        <v>6.078990967494402E-2</v>
      </c>
      <c r="BY55" s="372">
        <f>'Data Reduction Engine'!G70</f>
        <v>57.90212712915865</v>
      </c>
      <c r="BZ55" s="371">
        <f>IF('Raw Data Input'!AT$56="off",'Data Reduction Engine'!G$71,'Data Reduction Engine'!G$84)</f>
        <v>1.4424690920665095E-2</v>
      </c>
      <c r="CA55" s="372">
        <f>'Data Reduction Engine'!G85</f>
        <v>5.6787884723004254</v>
      </c>
      <c r="CB55" s="373">
        <f t="shared" si="12"/>
        <v>0.11824659923691942</v>
      </c>
      <c r="CC55" s="373"/>
      <c r="CD55" s="374">
        <f t="shared" si="13"/>
        <v>1.7577219448329608E-2</v>
      </c>
      <c r="CE55" s="375">
        <f t="shared" si="14"/>
        <v>12946.716603351073</v>
      </c>
      <c r="CF55" s="375">
        <f t="shared" si="15"/>
        <v>395.71576151255351</v>
      </c>
      <c r="CG55" s="374">
        <f t="shared" si="16"/>
        <v>3.5198650781686804E-2</v>
      </c>
      <c r="CH55" s="375">
        <f t="shared" si="17"/>
        <v>3228.5532816995051</v>
      </c>
      <c r="CI55" s="375">
        <f t="shared" si="18"/>
        <v>196.26346237525701</v>
      </c>
      <c r="CJ55" s="374">
        <f t="shared" si="19"/>
        <v>8.1914768516769547E-4</v>
      </c>
      <c r="CK55" s="375">
        <f t="shared" si="20"/>
        <v>5961225.831474266</v>
      </c>
      <c r="CL55" s="375">
        <f t="shared" si="21"/>
        <v>85988.840127301082</v>
      </c>
      <c r="CM55" s="376"/>
      <c r="CN55" s="377">
        <f t="shared" si="22"/>
        <v>1.5759864055842965</v>
      </c>
      <c r="CO55" s="377">
        <f t="shared" si="23"/>
        <v>2.4048118713897373</v>
      </c>
      <c r="CP55" s="377">
        <f t="shared" si="8"/>
        <v>1.4514664142911606</v>
      </c>
      <c r="CS55" s="442"/>
      <c r="CT55" s="442"/>
      <c r="CU55" s="442"/>
      <c r="CV55" s="442"/>
      <c r="CW55" s="442"/>
      <c r="CX55" s="442"/>
      <c r="CY55" s="442"/>
      <c r="CZ55" s="442"/>
      <c r="DA55" s="442"/>
      <c r="DB55" s="442"/>
      <c r="DC55" s="442"/>
      <c r="DD55" s="442"/>
      <c r="DE55" s="442"/>
      <c r="DF55" s="442"/>
      <c r="DG55" s="442"/>
      <c r="DH55" s="442"/>
      <c r="DI55" s="442"/>
      <c r="DJ55" s="442"/>
      <c r="DK55" s="442"/>
      <c r="DL55" s="442"/>
      <c r="DM55" s="442"/>
      <c r="DN55" s="442"/>
      <c r="DO55" s="442"/>
      <c r="DP55" s="442"/>
      <c r="DQ55" s="442"/>
      <c r="DR55" s="442"/>
      <c r="DS55" s="442"/>
      <c r="DT55" s="442"/>
      <c r="DU55" s="442"/>
      <c r="DV55" s="442"/>
      <c r="DW55" s="442"/>
      <c r="DX55" s="442"/>
      <c r="DY55" s="442"/>
      <c r="DZ55" s="442"/>
      <c r="EA55" s="442"/>
      <c r="EB55" s="442"/>
      <c r="EC55" s="442"/>
      <c r="ED55" s="442"/>
      <c r="EE55" s="442"/>
      <c r="EF55" s="442"/>
      <c r="EG55" s="442"/>
      <c r="EH55" s="442"/>
      <c r="EI55" s="442"/>
      <c r="EJ55" s="442"/>
      <c r="EK55" s="442"/>
      <c r="EL55" s="442"/>
      <c r="EM55" s="442"/>
      <c r="EN55" s="442"/>
      <c r="EO55" s="442"/>
      <c r="EP55" s="442"/>
      <c r="EQ55" s="442"/>
      <c r="ER55" s="442"/>
      <c r="ES55" s="442"/>
      <c r="ET55" s="442"/>
      <c r="EU55" s="442"/>
      <c r="EV55" s="442"/>
      <c r="EW55" s="442"/>
      <c r="EX55" s="442"/>
      <c r="EY55" s="442"/>
      <c r="EZ55" s="442"/>
      <c r="FA55" s="442"/>
      <c r="FB55" s="442"/>
      <c r="FC55" s="442"/>
    </row>
    <row r="56" spans="1:159" ht="14" customHeight="1" x14ac:dyDescent="0.15">
      <c r="A56" s="270" t="str">
        <f>J4</f>
        <v>15WZ1-2 t5</v>
      </c>
      <c r="B56" s="286">
        <f>IF('Raw Data Input'!J$39&lt;&gt;"",IF('Raw Data Input'!AT$56="off",'Data Reduction Engine'!H$34,'Data Reduction Engine'!H$44),'Data Reduction Engine'!H$34)</f>
        <v>104.26342487335205</v>
      </c>
      <c r="C56" s="318">
        <f>'Data Reduction Engine'!H45</f>
        <v>1212.0887995456071</v>
      </c>
      <c r="D56" s="255">
        <f>'Data Reduction Engine'!H46</f>
        <v>95.434854479689818</v>
      </c>
      <c r="E56" s="288">
        <f>'Data Reduction Engine'!H47</f>
        <v>46.933054055783359</v>
      </c>
      <c r="F56" s="255">
        <f>IF('Raw Data Input'!AT$56="off",'Data Reduction Engine'!H$38,'Data Reduction Engine'!H$48)</f>
        <v>95.081890607950086</v>
      </c>
      <c r="G56" s="288">
        <f>'Data Reduction Engine'!H49</f>
        <v>5.5668333250153248</v>
      </c>
      <c r="H56" s="256">
        <f>'Data Reduction Engine'!H213</f>
        <v>8.7593333350850884</v>
      </c>
      <c r="I56" s="302">
        <f>'Data Reduction Engine'!H59</f>
        <v>0.51277526162131137</v>
      </c>
      <c r="J56" s="286">
        <f t="shared" si="9"/>
        <v>5.854044389056582E-2</v>
      </c>
      <c r="K56" s="503">
        <f>'Data Reduction Engine'!H55</f>
        <v>0.38614475466325526</v>
      </c>
      <c r="L56" s="315">
        <f>'Data Reduction Engine'!H222</f>
        <v>1.6000000000000001E-3</v>
      </c>
      <c r="M56" s="313">
        <f>'Data Reduction Engine'!H224</f>
        <v>1.1201006202239219E-3</v>
      </c>
      <c r="N56" s="97" t="s">
        <v>615</v>
      </c>
      <c r="O56" s="631">
        <f>BO83</f>
        <v>86.045486691685838</v>
      </c>
      <c r="P56" s="632" t="str">
        <f>CONCATENATE("± ",ROUND(BP83,3)," (",ROUND(BP85,2),") [",ROUND(BP87,2),"]")</f>
        <v>± 12.36 (12.36) [12.36]</v>
      </c>
      <c r="Q56" s="633"/>
      <c r="R56" s="634" t="s">
        <v>43</v>
      </c>
      <c r="S56" s="635">
        <f>BP82</f>
        <v>1.0937622257680775</v>
      </c>
      <c r="T56" s="636">
        <f>CHIDIST(S56*(T57-1),T57-1)</f>
        <v>0.36137797584841358</v>
      </c>
      <c r="V56" s="667" t="str">
        <f t="shared" si="0"/>
        <v>x</v>
      </c>
      <c r="W56" s="668" t="str">
        <f t="shared" si="1"/>
        <v>x</v>
      </c>
      <c r="X56" s="669">
        <f t="shared" si="10"/>
        <v>1.5473300144044064</v>
      </c>
      <c r="Y56" s="621"/>
      <c r="Z56" s="607"/>
      <c r="AA56" s="291"/>
      <c r="AB56" s="291"/>
      <c r="AD56" s="710" t="s">
        <v>720</v>
      </c>
      <c r="AE56" s="716" t="s">
        <v>204</v>
      </c>
      <c r="AF56" s="716"/>
      <c r="AG56" s="717">
        <v>0.98798026000000005</v>
      </c>
      <c r="AK56" s="258"/>
      <c r="AL56" s="554"/>
      <c r="AM56" s="554"/>
      <c r="AN56" s="554"/>
      <c r="AO56" s="554"/>
      <c r="AP56" s="547"/>
      <c r="AQ56" s="546"/>
      <c r="AR56" s="258"/>
      <c r="AS56" s="540" t="s">
        <v>5</v>
      </c>
      <c r="AT56" s="552" t="s">
        <v>4</v>
      </c>
      <c r="AU56" s="553"/>
      <c r="AV56" s="593"/>
      <c r="AW56" s="547"/>
      <c r="BJ56" s="437"/>
      <c r="BK56" s="364" t="str">
        <f t="shared" si="11"/>
        <v>15WZ1-2 t5</v>
      </c>
      <c r="BL56" s="378">
        <f t="shared" si="2"/>
        <v>104.26342487335205</v>
      </c>
      <c r="BM56" s="379">
        <f t="shared" si="3"/>
        <v>1212.0887995456071</v>
      </c>
      <c r="BN56" s="474"/>
      <c r="BO56" s="489">
        <f t="shared" si="4"/>
        <v>95.434854479689818</v>
      </c>
      <c r="BP56" s="490">
        <f t="shared" si="5"/>
        <v>46.933054055783359</v>
      </c>
      <c r="BQ56" s="468"/>
      <c r="BR56" s="489">
        <f t="shared" si="6"/>
        <v>95.081890607950086</v>
      </c>
      <c r="BS56" s="490">
        <f t="shared" si="7"/>
        <v>5.5668333250153248</v>
      </c>
      <c r="BT56" s="369"/>
      <c r="BU56" s="370"/>
      <c r="BV56" s="371">
        <f>IF('Raw Data Input'!AT$56="off",'Data Reduction Engine'!H$77,'Data Reduction Engine'!H$90)</f>
        <v>4.8101515464455E-2</v>
      </c>
      <c r="BW56" s="372">
        <f>'Data Reduction Engine'!H78</f>
        <v>51.301496988464947</v>
      </c>
      <c r="BX56" s="371">
        <f>'Data Reduction Engine'!H69</f>
        <v>9.854767988031804E-2</v>
      </c>
      <c r="BY56" s="372">
        <f>'Data Reduction Engine'!H70</f>
        <v>51.525404768593638</v>
      </c>
      <c r="BZ56" s="371">
        <f>IF('Raw Data Input'!AT$56="off",'Data Reduction Engine'!H$71,'Data Reduction Engine'!H$84)</f>
        <v>1.4858890083390064E-2</v>
      </c>
      <c r="CA56" s="372">
        <f>'Data Reduction Engine'!H85</f>
        <v>5.8980615896675612</v>
      </c>
      <c r="CB56" s="373">
        <f t="shared" si="12"/>
        <v>9.5114958504452965E-2</v>
      </c>
      <c r="CC56" s="373"/>
      <c r="CD56" s="374">
        <f t="shared" si="13"/>
        <v>2.4676797507403384E-2</v>
      </c>
      <c r="CE56" s="375">
        <f t="shared" si="14"/>
        <v>6568.7449059621295</v>
      </c>
      <c r="CF56" s="375">
        <f t="shared" si="15"/>
        <v>315.96658467619739</v>
      </c>
      <c r="CG56" s="374">
        <f t="shared" si="16"/>
        <v>5.0777090948391786E-2</v>
      </c>
      <c r="CH56" s="375">
        <f t="shared" si="17"/>
        <v>1551.4020423501252</v>
      </c>
      <c r="CI56" s="375">
        <f t="shared" si="18"/>
        <v>152.88707183519173</v>
      </c>
      <c r="CJ56" s="374">
        <f t="shared" si="19"/>
        <v>8.7638648865935153E-4</v>
      </c>
      <c r="CK56" s="375">
        <f t="shared" si="20"/>
        <v>5207972.0471939407</v>
      </c>
      <c r="CL56" s="375">
        <f t="shared" si="21"/>
        <v>77384.684206622696</v>
      </c>
      <c r="CM56" s="376"/>
      <c r="CN56" s="377">
        <f t="shared" si="22"/>
        <v>3.4202637941525088E-2</v>
      </c>
      <c r="CO56" s="377">
        <f t="shared" si="23"/>
        <v>0.16009400220919143</v>
      </c>
      <c r="CP56" s="377">
        <f t="shared" si="8"/>
        <v>4.4844888428781058</v>
      </c>
      <c r="CS56" s="442"/>
      <c r="CT56" s="442"/>
      <c r="CU56" s="442"/>
      <c r="CV56" s="442"/>
      <c r="CW56" s="442"/>
      <c r="CX56" s="442"/>
      <c r="CY56" s="442"/>
      <c r="CZ56" s="442"/>
      <c r="DA56" s="442"/>
      <c r="DB56" s="442"/>
      <c r="DC56" s="442"/>
      <c r="DD56" s="442"/>
      <c r="DE56" s="442"/>
      <c r="DF56" s="442"/>
      <c r="DG56" s="442"/>
      <c r="DH56" s="442"/>
      <c r="DI56" s="442"/>
      <c r="DJ56" s="442"/>
      <c r="DK56" s="442"/>
      <c r="DL56" s="442"/>
      <c r="DM56" s="442"/>
      <c r="DN56" s="442"/>
      <c r="DO56" s="442"/>
      <c r="DP56" s="442"/>
      <c r="DQ56" s="442"/>
      <c r="DR56" s="442"/>
      <c r="DS56" s="442"/>
      <c r="DT56" s="442"/>
      <c r="DU56" s="442"/>
      <c r="DV56" s="442"/>
      <c r="DW56" s="442"/>
      <c r="DX56" s="442"/>
      <c r="DY56" s="442"/>
      <c r="DZ56" s="442"/>
      <c r="EA56" s="442"/>
      <c r="EB56" s="442"/>
      <c r="EC56" s="442"/>
      <c r="ED56" s="442"/>
      <c r="EE56" s="442"/>
      <c r="EF56" s="442"/>
      <c r="EG56" s="442"/>
      <c r="EH56" s="442"/>
      <c r="EI56" s="442"/>
      <c r="EJ56" s="442"/>
      <c r="EK56" s="442"/>
      <c r="EL56" s="442"/>
      <c r="EM56" s="442"/>
      <c r="EN56" s="442"/>
      <c r="EO56" s="442"/>
      <c r="EP56" s="442"/>
      <c r="EQ56" s="442"/>
      <c r="ER56" s="442"/>
      <c r="ES56" s="442"/>
      <c r="ET56" s="442"/>
      <c r="EU56" s="442"/>
      <c r="EV56" s="442"/>
      <c r="EW56" s="442"/>
      <c r="EX56" s="442"/>
      <c r="EY56" s="442"/>
      <c r="EZ56" s="442"/>
      <c r="FA56" s="442"/>
      <c r="FB56" s="442"/>
      <c r="FC56" s="442"/>
    </row>
    <row r="57" spans="1:159" ht="14" customHeight="1" x14ac:dyDescent="0.2">
      <c r="A57" s="742" t="str">
        <f>K4</f>
        <v>15WZ1-2 t6</v>
      </c>
      <c r="B57" s="479">
        <f>IF('Raw Data Input'!K$39&lt;&gt;"",IF('Raw Data Input'!AT$56="off",'Data Reduction Engine'!I$34,'Data Reduction Engine'!I$44),'Data Reduction Engine'!I$34)</f>
        <v>-47.227740287780762</v>
      </c>
      <c r="C57" s="527">
        <f>'Data Reduction Engine'!I45</f>
        <v>659.68845539459335</v>
      </c>
      <c r="D57" s="480">
        <f>'Data Reduction Engine'!I46</f>
        <v>82.196172284249613</v>
      </c>
      <c r="E57" s="481">
        <f>'Data Reduction Engine'!I47</f>
        <v>21.645050055354371</v>
      </c>
      <c r="F57" s="480">
        <f>IF('Raw Data Input'!AT$56="off",'Data Reduction Engine'!I$38,'Data Reduction Engine'!I$48)</f>
        <v>86.715183105095562</v>
      </c>
      <c r="G57" s="481">
        <f>'Data Reduction Engine'!I49</f>
        <v>2.6555030124702115</v>
      </c>
      <c r="H57" s="482">
        <f>'Data Reduction Engine'!I213</f>
        <v>7.0919969989596581</v>
      </c>
      <c r="I57" s="501">
        <f>'Data Reduction Engine'!I59</f>
        <v>0.75123360883316914</v>
      </c>
      <c r="J57" s="479">
        <f t="shared" si="9"/>
        <v>0.10592694962270421</v>
      </c>
      <c r="K57" s="504">
        <f>'Data Reduction Engine'!I55</f>
        <v>0.20764767420340752</v>
      </c>
      <c r="L57" s="483">
        <f>'Data Reduction Engine'!I222</f>
        <v>1.6000000000000001E-3</v>
      </c>
      <c r="M57" s="484">
        <f>'Data Reduction Engine'!I224</f>
        <v>9.2044358376370346E-4</v>
      </c>
      <c r="N57" s="97" t="s">
        <v>615</v>
      </c>
      <c r="O57" s="637"/>
      <c r="P57" s="632" t="str">
        <f>CONCATENATE("± ",ROUND(BQ83,3)," (",ROUND(BQ85,2),") [",ROUND(BQ87,2),"]")</f>
        <v>± 16.615 (16.61) [16.62]</v>
      </c>
      <c r="Q57" s="638"/>
      <c r="R57" s="634" t="s">
        <v>469</v>
      </c>
      <c r="S57" s="639" t="s">
        <v>32</v>
      </c>
      <c r="T57" s="597">
        <f>COUNTA(N$51:N$80)</f>
        <v>6</v>
      </c>
      <c r="V57" s="667" t="str">
        <f t="shared" si="0"/>
        <v>x</v>
      </c>
      <c r="W57" s="668" t="str">
        <f t="shared" si="1"/>
        <v>x</v>
      </c>
      <c r="X57" s="669">
        <f t="shared" si="10"/>
        <v>0.64902651577334591</v>
      </c>
      <c r="Y57" s="621"/>
      <c r="Z57" s="607"/>
      <c r="AA57" s="291"/>
      <c r="AB57" s="291"/>
      <c r="AD57" s="713"/>
      <c r="AE57" s="714" t="s">
        <v>205</v>
      </c>
      <c r="AF57" s="714"/>
      <c r="AG57" s="715">
        <v>4.7212583000000004E-3</v>
      </c>
      <c r="AK57" s="759" t="s">
        <v>357</v>
      </c>
      <c r="AL57" s="760"/>
      <c r="AM57" s="760"/>
      <c r="AN57" s="760"/>
      <c r="AO57" s="760"/>
      <c r="AP57" s="761"/>
      <c r="AQ57" s="344"/>
      <c r="AR57" s="258"/>
      <c r="AS57" s="540" t="s">
        <v>532</v>
      </c>
      <c r="AT57" s="552">
        <v>3</v>
      </c>
      <c r="AU57" s="553">
        <v>0.5</v>
      </c>
      <c r="AV57" s="542" t="s">
        <v>533</v>
      </c>
      <c r="AW57" s="259"/>
      <c r="AX57" s="344"/>
      <c r="AY57" s="344"/>
      <c r="AZ57" s="344"/>
      <c r="BA57" s="344"/>
      <c r="BB57" s="344"/>
      <c r="BC57" s="344"/>
      <c r="BD57" s="344"/>
      <c r="BE57" s="344"/>
      <c r="BF57" s="344"/>
      <c r="BG57" s="344"/>
      <c r="BH57" s="344"/>
      <c r="BJ57" s="437"/>
      <c r="BK57" s="364" t="str">
        <f t="shared" si="11"/>
        <v>15WZ1-2 t6</v>
      </c>
      <c r="BL57" s="378">
        <f t="shared" si="2"/>
        <v>-47.227740287780762</v>
      </c>
      <c r="BM57" s="379">
        <f t="shared" si="3"/>
        <v>659.68845539459335</v>
      </c>
      <c r="BN57" s="474"/>
      <c r="BO57" s="489">
        <f t="shared" si="4"/>
        <v>82.196172284249613</v>
      </c>
      <c r="BP57" s="490">
        <f t="shared" si="5"/>
        <v>21.645050055354371</v>
      </c>
      <c r="BQ57" s="468"/>
      <c r="BR57" s="489">
        <f t="shared" si="6"/>
        <v>86.715183105095562</v>
      </c>
      <c r="BS57" s="490">
        <f t="shared" si="7"/>
        <v>2.6555030124702115</v>
      </c>
      <c r="BT57" s="369"/>
      <c r="BU57" s="370"/>
      <c r="BV57" s="371">
        <f>IF('Raw Data Input'!AT$56="off",'Data Reduction Engine'!I$77,'Data Reduction Engine'!I$90)</f>
        <v>4.5156059383144896E-2</v>
      </c>
      <c r="BW57" s="372">
        <f>'Data Reduction Engine'!I78</f>
        <v>27.135043209335468</v>
      </c>
      <c r="BX57" s="371">
        <f>'Data Reduction Engine'!I69</f>
        <v>8.4317655560081931E-2</v>
      </c>
      <c r="BY57" s="372">
        <f>'Data Reduction Engine'!I70</f>
        <v>27.413639067069081</v>
      </c>
      <c r="BZ57" s="371">
        <f>IF('Raw Data Input'!AT$56="off",'Data Reduction Engine'!I$71,'Data Reduction Engine'!I$84)</f>
        <v>1.3542573842664673E-2</v>
      </c>
      <c r="CA57" s="372">
        <f>'Data Reduction Engine'!I85</f>
        <v>3.0829705529155405</v>
      </c>
      <c r="CB57" s="373">
        <f t="shared" si="12"/>
        <v>0.14613746183512444</v>
      </c>
      <c r="CC57" s="373"/>
      <c r="CD57" s="374">
        <f t="shared" si="13"/>
        <v>1.225311622524955E-2</v>
      </c>
      <c r="CE57" s="375">
        <f t="shared" si="14"/>
        <v>26642.003767794497</v>
      </c>
      <c r="CF57" s="375">
        <f t="shared" si="15"/>
        <v>1203.0479042244983</v>
      </c>
      <c r="CG57" s="374">
        <f t="shared" si="16"/>
        <v>2.3114537765055364E-2</v>
      </c>
      <c r="CH57" s="375">
        <f t="shared" si="17"/>
        <v>7486.6850790268045</v>
      </c>
      <c r="CI57" s="375">
        <f t="shared" si="18"/>
        <v>631.25973378018682</v>
      </c>
      <c r="CJ57" s="374">
        <f t="shared" si="19"/>
        <v>4.1751356367619442E-4</v>
      </c>
      <c r="CK57" s="375">
        <f t="shared" si="20"/>
        <v>22946624.747463707</v>
      </c>
      <c r="CL57" s="375">
        <f t="shared" si="21"/>
        <v>310756.36008244386</v>
      </c>
      <c r="CM57" s="376"/>
      <c r="CN57" s="377">
        <f t="shared" si="22"/>
        <v>1.4275323313947437E-2</v>
      </c>
      <c r="CO57" s="377">
        <f t="shared" si="23"/>
        <v>0.12650554815055873</v>
      </c>
      <c r="CP57" s="377">
        <f t="shared" si="8"/>
        <v>3.467326735692001</v>
      </c>
      <c r="CS57" s="442"/>
      <c r="CT57" s="442"/>
      <c r="CU57" s="442"/>
      <c r="CV57" s="442"/>
      <c r="CW57" s="442"/>
      <c r="CX57" s="442"/>
      <c r="CY57" s="442"/>
      <c r="CZ57" s="442"/>
      <c r="DA57" s="442"/>
      <c r="DB57" s="442"/>
      <c r="DC57" s="442"/>
      <c r="DD57" s="442"/>
      <c r="DE57" s="442"/>
      <c r="DF57" s="442"/>
      <c r="DG57" s="442"/>
      <c r="DH57" s="442"/>
      <c r="DI57" s="442"/>
      <c r="DJ57" s="442"/>
      <c r="DK57" s="442"/>
      <c r="DL57" s="442"/>
      <c r="DM57" s="442"/>
      <c r="DN57" s="442"/>
      <c r="DO57" s="442"/>
      <c r="DP57" s="442"/>
      <c r="DQ57" s="442"/>
      <c r="DR57" s="442"/>
      <c r="DS57" s="442"/>
      <c r="DT57" s="442"/>
      <c r="DU57" s="442"/>
      <c r="DV57" s="442"/>
      <c r="DW57" s="442"/>
      <c r="DX57" s="442"/>
      <c r="DY57" s="442"/>
      <c r="DZ57" s="442"/>
      <c r="EA57" s="442"/>
      <c r="EB57" s="442"/>
      <c r="EC57" s="442"/>
      <c r="ED57" s="442"/>
      <c r="EE57" s="442"/>
      <c r="EF57" s="442"/>
      <c r="EG57" s="442"/>
      <c r="EH57" s="442"/>
      <c r="EI57" s="442"/>
      <c r="EJ57" s="442"/>
      <c r="EK57" s="442"/>
      <c r="EL57" s="442"/>
      <c r="EM57" s="442"/>
      <c r="EN57" s="442"/>
      <c r="EO57" s="442"/>
      <c r="EP57" s="442"/>
      <c r="EQ57" s="442"/>
      <c r="ER57" s="442"/>
      <c r="ES57" s="442"/>
      <c r="ET57" s="442"/>
      <c r="EU57" s="442"/>
      <c r="EV57" s="442"/>
      <c r="EW57" s="442"/>
      <c r="EX57" s="442"/>
      <c r="EY57" s="442"/>
      <c r="EZ57" s="442"/>
      <c r="FA57" s="442"/>
      <c r="FB57" s="442"/>
      <c r="FC57" s="442"/>
    </row>
    <row r="58" spans="1:159" ht="14" customHeight="1" x14ac:dyDescent="0.2">
      <c r="A58" s="270" t="str">
        <f>L4</f>
        <v>15WZ1-2 t7</v>
      </c>
      <c r="B58" s="286">
        <f>IF('Raw Data Input'!L$39&lt;&gt;"",IF('Raw Data Input'!AT$56="off",'Data Reduction Engine'!J$34,'Data Reduction Engine'!J$44),'Data Reduction Engine'!J$34)</f>
        <v>410.52162647247314</v>
      </c>
      <c r="C58" s="318">
        <f>'Data Reduction Engine'!J45</f>
        <v>488.17554236394153</v>
      </c>
      <c r="D58" s="255">
        <f>'Data Reduction Engine'!J46</f>
        <v>102.11859637264516</v>
      </c>
      <c r="E58" s="288">
        <f>'Data Reduction Engine'!J47</f>
        <v>21.320135269587205</v>
      </c>
      <c r="F58" s="255">
        <f>IF('Raw Data Input'!AT$56="off",'Data Reduction Engine'!J$38,'Data Reduction Engine'!J$48)</f>
        <v>89.385431902516075</v>
      </c>
      <c r="G58" s="288">
        <f>'Data Reduction Engine'!J49</f>
        <v>3.1945011281849256</v>
      </c>
      <c r="H58" s="256">
        <f>'Data Reduction Engine'!J213</f>
        <v>7.0077203374876005</v>
      </c>
      <c r="I58" s="302">
        <f>'Data Reduction Engine'!J59</f>
        <v>0.66738925925035908</v>
      </c>
      <c r="J58" s="286">
        <f t="shared" si="9"/>
        <v>9.5236286140041759E-2</v>
      </c>
      <c r="K58" s="503">
        <f>'Data Reduction Engine'!J55</f>
        <v>0.38781034086996707</v>
      </c>
      <c r="L58" s="315">
        <f>'Data Reduction Engine'!J222</f>
        <v>1.6000000000000001E-3</v>
      </c>
      <c r="M58" s="313">
        <f>'Data Reduction Engine'!J224</f>
        <v>8.5498887217104827E-4</v>
      </c>
      <c r="N58" s="97" t="s">
        <v>615</v>
      </c>
      <c r="O58" s="640"/>
      <c r="P58" s="641"/>
      <c r="Q58" s="642"/>
      <c r="R58" s="643"/>
      <c r="S58" s="644"/>
      <c r="T58" s="645"/>
      <c r="V58" s="667" t="str">
        <f t="shared" si="0"/>
        <v>x</v>
      </c>
      <c r="W58" s="668" t="str">
        <f t="shared" si="1"/>
        <v>x</v>
      </c>
      <c r="X58" s="669">
        <f t="shared" si="10"/>
        <v>5.1944371689003496E-2</v>
      </c>
      <c r="Y58" s="621"/>
      <c r="Z58" s="607"/>
      <c r="AA58" s="291"/>
      <c r="AB58" s="291"/>
      <c r="AD58" s="718"/>
      <c r="AE58" s="719"/>
      <c r="AF58" s="719"/>
      <c r="AG58" s="720"/>
      <c r="AK58" s="559"/>
      <c r="AL58" s="540" t="s">
        <v>355</v>
      </c>
      <c r="AM58" s="543">
        <v>0</v>
      </c>
      <c r="AN58" s="544">
        <v>0.01</v>
      </c>
      <c r="AO58" s="542" t="s">
        <v>531</v>
      </c>
      <c r="AP58" s="259"/>
      <c r="AR58" s="548"/>
      <c r="AS58" s="549" t="s">
        <v>534</v>
      </c>
      <c r="AT58" s="555">
        <v>1</v>
      </c>
      <c r="AU58" s="551">
        <v>0.05</v>
      </c>
      <c r="AV58" s="542" t="s">
        <v>533</v>
      </c>
      <c r="AW58" s="259"/>
      <c r="BJ58" s="437"/>
      <c r="BK58" s="364" t="str">
        <f t="shared" si="11"/>
        <v>15WZ1-2 t7</v>
      </c>
      <c r="BL58" s="378">
        <f t="shared" si="2"/>
        <v>410.52162647247314</v>
      </c>
      <c r="BM58" s="379">
        <f t="shared" si="3"/>
        <v>488.17554236394153</v>
      </c>
      <c r="BN58" s="474"/>
      <c r="BO58" s="489">
        <f t="shared" si="4"/>
        <v>102.11859637264516</v>
      </c>
      <c r="BP58" s="490">
        <f t="shared" si="5"/>
        <v>21.320135269587205</v>
      </c>
      <c r="BQ58" s="468"/>
      <c r="BR58" s="489">
        <f t="shared" si="6"/>
        <v>89.385431902516075</v>
      </c>
      <c r="BS58" s="490">
        <f t="shared" si="7"/>
        <v>3.1945011281849256</v>
      </c>
      <c r="BT58" s="369"/>
      <c r="BU58" s="370"/>
      <c r="BV58" s="371">
        <f>IF('Raw Data Input'!AT$56="off",'Data Reduction Engine'!J$77,'Data Reduction Engine'!J$90)</f>
        <v>5.4958203516352985E-2</v>
      </c>
      <c r="BW58" s="372">
        <f>'Data Reduction Engine'!J78</f>
        <v>21.83608011496921</v>
      </c>
      <c r="BX58" s="371">
        <f>'Data Reduction Engine'!J69</f>
        <v>0.10580270337015114</v>
      </c>
      <c r="BY58" s="372">
        <f>'Data Reduction Engine'!J70</f>
        <v>21.94526996947674</v>
      </c>
      <c r="BZ58" s="371">
        <f>IF('Raw Data Input'!AT$56="off",'Data Reduction Engine'!J$71,'Data Reduction Engine'!J$84)</f>
        <v>1.3962492787955754E-2</v>
      </c>
      <c r="CA58" s="372">
        <f>'Data Reduction Engine'!J85</f>
        <v>3.5986844640114564</v>
      </c>
      <c r="CB58" s="373">
        <f t="shared" si="12"/>
        <v>0.11225837740736544</v>
      </c>
      <c r="CC58" s="373"/>
      <c r="CD58" s="374">
        <f t="shared" si="13"/>
        <v>1.2000717349578662E-2</v>
      </c>
      <c r="CE58" s="375">
        <f t="shared" si="14"/>
        <v>27774.457012685245</v>
      </c>
      <c r="CF58" s="375">
        <f t="shared" si="15"/>
        <v>1526.434261059353</v>
      </c>
      <c r="CG58" s="374">
        <f t="shared" si="16"/>
        <v>2.3218688889584334E-2</v>
      </c>
      <c r="CH58" s="375">
        <f t="shared" si="17"/>
        <v>7419.6702846275293</v>
      </c>
      <c r="CI58" s="375">
        <f t="shared" si="18"/>
        <v>785.02117422877143</v>
      </c>
      <c r="CJ58" s="374">
        <f t="shared" si="19"/>
        <v>5.0246605874888382E-4</v>
      </c>
      <c r="CK58" s="375">
        <f t="shared" si="20"/>
        <v>15843332.24614924</v>
      </c>
      <c r="CL58" s="375">
        <f t="shared" si="21"/>
        <v>221212.41222404561</v>
      </c>
      <c r="CM58" s="376"/>
      <c r="CN58" s="377">
        <f t="shared" si="22"/>
        <v>2.9374216187395747</v>
      </c>
      <c r="CO58" s="377">
        <f t="shared" si="23"/>
        <v>2.273421151399849</v>
      </c>
      <c r="CP58" s="377">
        <f t="shared" si="8"/>
        <v>1.5347385013352704E-2</v>
      </c>
      <c r="CS58" s="442"/>
      <c r="CT58" s="442"/>
      <c r="CU58" s="442"/>
      <c r="CV58" s="442"/>
      <c r="CW58" s="442"/>
      <c r="CX58" s="442"/>
      <c r="CY58" s="442"/>
      <c r="CZ58" s="442"/>
      <c r="DA58" s="442"/>
      <c r="DB58" s="442"/>
      <c r="DC58" s="442"/>
      <c r="DD58" s="442"/>
      <c r="DE58" s="442"/>
      <c r="DF58" s="442"/>
      <c r="DG58" s="442"/>
      <c r="DH58" s="442"/>
      <c r="DI58" s="442"/>
      <c r="DJ58" s="442"/>
      <c r="DK58" s="442"/>
      <c r="DL58" s="442"/>
      <c r="DM58" s="442"/>
      <c r="DN58" s="442"/>
      <c r="DO58" s="442"/>
      <c r="DP58" s="442"/>
      <c r="DQ58" s="442"/>
      <c r="DR58" s="442"/>
      <c r="DS58" s="442"/>
      <c r="DT58" s="442"/>
      <c r="DU58" s="442"/>
      <c r="DV58" s="442"/>
      <c r="DW58" s="442"/>
      <c r="DX58" s="442"/>
      <c r="DY58" s="442"/>
      <c r="DZ58" s="442"/>
      <c r="EA58" s="442"/>
      <c r="EB58" s="442"/>
      <c r="EC58" s="442"/>
      <c r="ED58" s="442"/>
      <c r="EE58" s="442"/>
      <c r="EF58" s="442"/>
      <c r="EG58" s="442"/>
      <c r="EH58" s="442"/>
      <c r="EI58" s="442"/>
      <c r="EJ58" s="442"/>
      <c r="EK58" s="442"/>
      <c r="EL58" s="442"/>
      <c r="EM58" s="442"/>
      <c r="EN58" s="442"/>
      <c r="EO58" s="442"/>
      <c r="EP58" s="442"/>
      <c r="EQ58" s="442"/>
      <c r="ER58" s="442"/>
      <c r="ES58" s="442"/>
      <c r="ET58" s="442"/>
      <c r="EU58" s="442"/>
      <c r="EV58" s="442"/>
      <c r="EW58" s="442"/>
      <c r="EX58" s="442"/>
      <c r="EY58" s="442"/>
      <c r="EZ58" s="442"/>
      <c r="FA58" s="442"/>
      <c r="FB58" s="442"/>
      <c r="FC58" s="442"/>
    </row>
    <row r="59" spans="1:159" ht="14" customHeight="1" thickBot="1" x14ac:dyDescent="0.25">
      <c r="A59" s="270" t="str">
        <f>M4</f>
        <v>z1a</v>
      </c>
      <c r="B59" s="286">
        <f>IF('Raw Data Input'!M$39&lt;&gt;"",IF('Raw Data Input'!AT$56="off",'Data Reduction Engine'!K$34,'Data Reduction Engine'!K$44),'Data Reduction Engine'!K$34)</f>
        <v>51.209330558776855</v>
      </c>
      <c r="C59" s="318">
        <f>'Data Reduction Engine'!K45</f>
        <v>3.6881953277148209</v>
      </c>
      <c r="D59" s="255">
        <f>'Data Reduction Engine'!K46</f>
        <v>44.715138818739604</v>
      </c>
      <c r="E59" s="288">
        <f>'Data Reduction Engine'!K47</f>
        <v>8.8278519145874992E-2</v>
      </c>
      <c r="F59" s="255">
        <f>IF('Raw Data Input'!AT$56="off",'Data Reduction Engine'!K$38,'Data Reduction Engine'!K$48)</f>
        <v>44.594147090754795</v>
      </c>
      <c r="G59" s="288">
        <f>'Data Reduction Engine'!K49</f>
        <v>3.1082999498738693E-2</v>
      </c>
      <c r="H59" s="256">
        <f>'Data Reduction Engine'!K213</f>
        <v>0.33519948830098384</v>
      </c>
      <c r="I59" s="302">
        <f>'Data Reduction Engine'!K59</f>
        <v>18.580564138913367</v>
      </c>
      <c r="J59" s="286">
        <f t="shared" si="9"/>
        <v>55.431361882716907</v>
      </c>
      <c r="K59" s="503">
        <f>'Data Reduction Engine'!K55</f>
        <v>0.60192975446302244</v>
      </c>
      <c r="L59" s="315">
        <f>'Data Reduction Engine'!K222</f>
        <v>1.6000000000000001E-3</v>
      </c>
      <c r="M59" s="313">
        <f>'Data Reduction Engine'!K224</f>
        <v>8.2130923984435292E-4</v>
      </c>
      <c r="N59" s="97"/>
      <c r="O59" s="627" t="s">
        <v>19</v>
      </c>
      <c r="P59" s="628"/>
      <c r="Q59" s="628"/>
      <c r="R59" s="629"/>
      <c r="S59" s="629" t="s">
        <v>41</v>
      </c>
      <c r="T59" s="630" t="s">
        <v>42</v>
      </c>
      <c r="V59" s="667" t="str">
        <f t="shared" si="0"/>
        <v/>
      </c>
      <c r="W59" s="668" t="str">
        <f t="shared" si="1"/>
        <v/>
      </c>
      <c r="X59" s="669">
        <f t="shared" si="10"/>
        <v>11.70628081519596</v>
      </c>
      <c r="Y59" s="621"/>
      <c r="Z59" s="607"/>
      <c r="AA59" s="291"/>
      <c r="AB59" s="291"/>
      <c r="AD59" s="735" t="s">
        <v>721</v>
      </c>
      <c r="AE59" s="736"/>
      <c r="AF59" s="736"/>
      <c r="AG59" s="737"/>
      <c r="AK59" s="258"/>
      <c r="AL59" s="540" t="s">
        <v>356</v>
      </c>
      <c r="AM59" s="550">
        <v>0.03</v>
      </c>
      <c r="AN59" s="551">
        <v>0.02</v>
      </c>
      <c r="AO59" s="542" t="s">
        <v>531</v>
      </c>
      <c r="AP59" s="259"/>
      <c r="AR59" s="556"/>
      <c r="AS59" s="557"/>
      <c r="AT59" s="557"/>
      <c r="AU59" s="557"/>
      <c r="AV59" s="557"/>
      <c r="AW59" s="558"/>
      <c r="BJ59" s="437"/>
      <c r="BK59" s="364" t="str">
        <f t="shared" si="11"/>
        <v/>
      </c>
      <c r="BL59" s="382" t="str">
        <f t="shared" si="2"/>
        <v/>
      </c>
      <c r="BM59" s="383" t="str">
        <f t="shared" si="3"/>
        <v/>
      </c>
      <c r="BN59" s="475"/>
      <c r="BO59" s="491" t="str">
        <f t="shared" si="4"/>
        <v/>
      </c>
      <c r="BP59" s="492" t="str">
        <f t="shared" si="5"/>
        <v/>
      </c>
      <c r="BQ59" s="469"/>
      <c r="BR59" s="491" t="str">
        <f t="shared" si="6"/>
        <v/>
      </c>
      <c r="BS59" s="492" t="str">
        <f t="shared" si="7"/>
        <v/>
      </c>
      <c r="BT59" s="386"/>
      <c r="BU59" s="329"/>
      <c r="BV59" s="371">
        <f>IF('Raw Data Input'!AT$56="off",'Data Reduction Engine'!K$77,'Data Reduction Engine'!K$90)</f>
        <v>4.7039043452681881E-2</v>
      </c>
      <c r="BW59" s="388">
        <f>'Data Reduction Engine'!K78</f>
        <v>0.15463316337931962</v>
      </c>
      <c r="BX59" s="387">
        <f>'Data Reduction Engine'!K69</f>
        <v>4.5021756132530399E-2</v>
      </c>
      <c r="BY59" s="388">
        <f>'Data Reduction Engine'!K70</f>
        <v>0.20180319109851225</v>
      </c>
      <c r="BZ59" s="371">
        <f>IF('Raw Data Input'!AT$56="off",'Data Reduction Engine'!K$71,'Data Reduction Engine'!K$84)</f>
        <v>6.9416493949732393E-3</v>
      </c>
      <c r="CA59" s="388">
        <f>'Data Reduction Engine'!K85</f>
        <v>6.9943336533119696E-2</v>
      </c>
      <c r="CB59" s="373" t="str">
        <f t="shared" si="12"/>
        <v/>
      </c>
      <c r="CC59" s="373"/>
      <c r="CD59" s="374" t="str">
        <f t="shared" si="13"/>
        <v/>
      </c>
      <c r="CE59" s="375" t="str">
        <f t="shared" si="14"/>
        <v/>
      </c>
      <c r="CF59" s="375" t="str">
        <f t="shared" si="15"/>
        <v/>
      </c>
      <c r="CG59" s="374" t="str">
        <f t="shared" si="16"/>
        <v/>
      </c>
      <c r="CH59" s="375" t="str">
        <f t="shared" si="17"/>
        <v/>
      </c>
      <c r="CI59" s="375" t="str">
        <f t="shared" si="18"/>
        <v/>
      </c>
      <c r="CJ59" s="374" t="str">
        <f t="shared" si="19"/>
        <v/>
      </c>
      <c r="CK59" s="375" t="str">
        <f t="shared" si="20"/>
        <v/>
      </c>
      <c r="CL59" s="375" t="str">
        <f t="shared" si="21"/>
        <v/>
      </c>
      <c r="CM59" s="376"/>
      <c r="CN59" s="377" t="str">
        <f t="shared" si="22"/>
        <v/>
      </c>
      <c r="CO59" s="377" t="str">
        <f t="shared" si="23"/>
        <v/>
      </c>
      <c r="CP59" s="377" t="str">
        <f t="shared" si="8"/>
        <v/>
      </c>
      <c r="CS59" s="442"/>
      <c r="CT59" s="442"/>
      <c r="CU59" s="442"/>
      <c r="CV59" s="442"/>
      <c r="CW59" s="442"/>
      <c r="CX59" s="442"/>
      <c r="CY59" s="442"/>
      <c r="CZ59" s="442"/>
      <c r="DA59" s="442"/>
      <c r="DB59" s="442"/>
      <c r="DC59" s="442"/>
      <c r="DD59" s="442"/>
      <c r="DE59" s="442"/>
      <c r="DF59" s="442"/>
      <c r="DG59" s="442"/>
      <c r="DH59" s="442"/>
      <c r="DI59" s="442"/>
      <c r="DJ59" s="442"/>
      <c r="DK59" s="442"/>
      <c r="DL59" s="442"/>
      <c r="DM59" s="442"/>
      <c r="DN59" s="442"/>
      <c r="DO59" s="442"/>
      <c r="DP59" s="442"/>
      <c r="DQ59" s="442"/>
      <c r="DR59" s="442"/>
      <c r="DS59" s="442"/>
      <c r="DT59" s="442"/>
      <c r="DU59" s="442"/>
      <c r="DV59" s="442"/>
      <c r="DW59" s="442"/>
      <c r="DX59" s="442"/>
      <c r="DY59" s="442"/>
      <c r="DZ59" s="442"/>
      <c r="EA59" s="442"/>
      <c r="EB59" s="442"/>
      <c r="EC59" s="442"/>
      <c r="ED59" s="442"/>
      <c r="EE59" s="442"/>
      <c r="EF59" s="442"/>
      <c r="EG59" s="442"/>
      <c r="EH59" s="442"/>
      <c r="EI59" s="442"/>
      <c r="EJ59" s="442"/>
      <c r="EK59" s="442"/>
      <c r="EL59" s="442"/>
      <c r="EM59" s="442"/>
      <c r="EN59" s="442"/>
      <c r="EO59" s="442"/>
      <c r="EP59" s="442"/>
      <c r="EQ59" s="442"/>
      <c r="ER59" s="442"/>
      <c r="ES59" s="442"/>
      <c r="ET59" s="442"/>
      <c r="EU59" s="442"/>
      <c r="EV59" s="442"/>
      <c r="EW59" s="442"/>
      <c r="EX59" s="442"/>
      <c r="EY59" s="442"/>
      <c r="EZ59" s="442"/>
      <c r="FA59" s="442"/>
      <c r="FB59" s="442"/>
      <c r="FC59" s="442"/>
    </row>
    <row r="60" spans="1:159" ht="14" customHeight="1" x14ac:dyDescent="0.15">
      <c r="A60" s="270" t="str">
        <f>N4</f>
        <v>z1b</v>
      </c>
      <c r="B60" s="286">
        <f>IF('Raw Data Input'!N$39&lt;&gt;"",IF('Raw Data Input'!AT$56="off",'Data Reduction Engine'!L$34,'Data Reduction Engine'!L$44),'Data Reduction Engine'!L$34)</f>
        <v>51.620602607727051</v>
      </c>
      <c r="C60" s="318">
        <f>'Data Reduction Engine'!L45</f>
        <v>6.3247313027655441</v>
      </c>
      <c r="D60" s="255">
        <f>'Data Reduction Engine'!L46</f>
        <v>44.714792733807109</v>
      </c>
      <c r="E60" s="288">
        <f>'Data Reduction Engine'!L47</f>
        <v>0.1342880930305641</v>
      </c>
      <c r="F60" s="255">
        <f>IF('Raw Data Input'!AT$56="off",'Data Reduction Engine'!L$38,'Data Reduction Engine'!L$48)</f>
        <v>44.586164163593281</v>
      </c>
      <c r="G60" s="288">
        <f>'Data Reduction Engine'!L49</f>
        <v>3.2817205384833466E-2</v>
      </c>
      <c r="H60" s="256">
        <f>'Data Reduction Engine'!L213</f>
        <v>0.40693719101173476</v>
      </c>
      <c r="I60" s="302">
        <f>'Data Reduction Engine'!L59</f>
        <v>13.161878587894869</v>
      </c>
      <c r="J60" s="286">
        <f t="shared" si="9"/>
        <v>32.343759377636545</v>
      </c>
      <c r="K60" s="503">
        <f>'Data Reduction Engine'!L55</f>
        <v>0.59410896997923179</v>
      </c>
      <c r="L60" s="315">
        <f>'Data Reduction Engine'!L222</f>
        <v>1.6000000000000001E-3</v>
      </c>
      <c r="M60" s="313">
        <f>'Data Reduction Engine'!L224</f>
        <v>7.8236839948635478E-4</v>
      </c>
      <c r="N60" s="97"/>
      <c r="O60" s="631">
        <f>BL83</f>
        <v>-7.8181549906730652</v>
      </c>
      <c r="P60" s="632" t="str">
        <f>CONCATENATE("± ",ROUND(BM83,3)," [",ROUND(BM87,2),"]")</f>
        <v>± 359.531 [359.32]</v>
      </c>
      <c r="Q60" s="633"/>
      <c r="R60" s="634" t="s">
        <v>43</v>
      </c>
      <c r="S60" s="635">
        <f>BM82</f>
        <v>0.94347551291439624</v>
      </c>
      <c r="T60" s="636">
        <f>CHIDIST(S60*(T61-1),T61-1)</f>
        <v>0.45133573395320004</v>
      </c>
      <c r="V60" s="667" t="str">
        <f t="shared" si="0"/>
        <v/>
      </c>
      <c r="W60" s="668" t="str">
        <f t="shared" si="1"/>
        <v/>
      </c>
      <c r="X60" s="669">
        <f t="shared" si="10"/>
        <v>11.708376424991705</v>
      </c>
      <c r="Y60" s="621"/>
      <c r="Z60" s="608"/>
      <c r="AA60" s="291"/>
      <c r="AB60" s="291"/>
      <c r="AD60" s="721" t="s">
        <v>722</v>
      </c>
      <c r="AE60" s="711" t="s">
        <v>204</v>
      </c>
      <c r="AF60" s="711"/>
      <c r="AG60" s="722">
        <f>IF(AG56&gt;0,(AG54/AG56)/((1/AG56)-(2*AE66)),"")</f>
        <v>0.63245695544785685</v>
      </c>
      <c r="AK60" s="258"/>
      <c r="AL60" s="554"/>
      <c r="AM60" s="554"/>
      <c r="AN60" s="554"/>
      <c r="AO60" s="554"/>
      <c r="AP60" s="547"/>
      <c r="AQ60" s="546"/>
      <c r="AX60" s="546"/>
      <c r="AY60" s="546"/>
      <c r="AZ60" s="546"/>
      <c r="BA60" s="546"/>
      <c r="BB60" s="546"/>
      <c r="BC60" s="546"/>
      <c r="BD60" s="546"/>
      <c r="BE60" s="546"/>
      <c r="BF60" s="546"/>
      <c r="BG60" s="546"/>
      <c r="BH60" s="546"/>
      <c r="BJ60" s="440"/>
      <c r="BK60" s="364" t="str">
        <f t="shared" si="11"/>
        <v/>
      </c>
      <c r="BL60" s="378" t="str">
        <f t="shared" si="2"/>
        <v/>
      </c>
      <c r="BM60" s="379" t="str">
        <f t="shared" si="3"/>
        <v/>
      </c>
      <c r="BN60" s="474"/>
      <c r="BO60" s="380" t="str">
        <f t="shared" si="4"/>
        <v/>
      </c>
      <c r="BP60" s="381" t="str">
        <f t="shared" si="5"/>
        <v/>
      </c>
      <c r="BQ60" s="468"/>
      <c r="BR60" s="380" t="str">
        <f t="shared" si="6"/>
        <v/>
      </c>
      <c r="BS60" s="381" t="str">
        <f t="shared" si="7"/>
        <v/>
      </c>
      <c r="BT60" s="369"/>
      <c r="BU60" s="370"/>
      <c r="BV60" s="371">
        <f>IF('Raw Data Input'!AT$56="off",'Data Reduction Engine'!L$77,'Data Reduction Engine'!L$90)</f>
        <v>4.7047122506225225E-2</v>
      </c>
      <c r="BW60" s="372">
        <f>'Data Reduction Engine'!L78</f>
        <v>0.26519393607809255</v>
      </c>
      <c r="BX60" s="371">
        <f>'Data Reduction Engine'!L69</f>
        <v>4.5021399945551231E-2</v>
      </c>
      <c r="BY60" s="372">
        <f>'Data Reduction Engine'!L70</f>
        <v>0.30698261735018961</v>
      </c>
      <c r="BZ60" s="371">
        <f>IF('Raw Data Input'!AT$56="off",'Data Reduction Engine'!L$71,'Data Reduction Engine'!L$84)</f>
        <v>6.9404024479669153E-3</v>
      </c>
      <c r="CA60" s="372">
        <f>'Data Reduction Engine'!L85</f>
        <v>7.3858843334822302E-2</v>
      </c>
      <c r="CB60" s="373" t="str">
        <f t="shared" si="12"/>
        <v/>
      </c>
      <c r="CC60" s="373"/>
      <c r="CD60" s="374" t="str">
        <f t="shared" si="13"/>
        <v/>
      </c>
      <c r="CE60" s="375" t="str">
        <f t="shared" si="14"/>
        <v/>
      </c>
      <c r="CF60" s="375" t="str">
        <f t="shared" si="15"/>
        <v/>
      </c>
      <c r="CG60" s="374" t="str">
        <f t="shared" si="16"/>
        <v/>
      </c>
      <c r="CH60" s="375" t="str">
        <f t="shared" si="17"/>
        <v/>
      </c>
      <c r="CI60" s="375" t="str">
        <f t="shared" si="18"/>
        <v/>
      </c>
      <c r="CJ60" s="374" t="str">
        <f t="shared" si="19"/>
        <v/>
      </c>
      <c r="CK60" s="375" t="str">
        <f t="shared" si="20"/>
        <v/>
      </c>
      <c r="CL60" s="375" t="str">
        <f t="shared" si="21"/>
        <v/>
      </c>
      <c r="CM60" s="376"/>
      <c r="CN60" s="377" t="str">
        <f t="shared" si="22"/>
        <v/>
      </c>
      <c r="CO60" s="377" t="str">
        <f t="shared" si="23"/>
        <v/>
      </c>
      <c r="CP60" s="377" t="str">
        <f t="shared" si="8"/>
        <v/>
      </c>
      <c r="CS60" s="463" t="s">
        <v>123</v>
      </c>
      <c r="CT60" s="442"/>
      <c r="CU60" s="442"/>
      <c r="CV60" s="442"/>
      <c r="CW60" s="442"/>
      <c r="CX60" s="442"/>
      <c r="CY60" s="442"/>
      <c r="CZ60" s="442"/>
      <c r="DA60" s="442"/>
      <c r="DB60" s="442"/>
      <c r="DC60" s="442"/>
      <c r="DD60" s="442"/>
      <c r="DE60" s="442"/>
      <c r="DF60" s="442"/>
      <c r="DG60" s="442"/>
      <c r="DH60" s="442"/>
      <c r="DI60" s="442"/>
      <c r="DJ60" s="442"/>
      <c r="DK60" s="442"/>
      <c r="DL60" s="442"/>
      <c r="DM60" s="442"/>
      <c r="DN60" s="442"/>
      <c r="DO60" s="442"/>
      <c r="DP60" s="442"/>
      <c r="DQ60" s="442"/>
      <c r="DR60" s="442"/>
      <c r="DS60" s="442"/>
      <c r="DT60" s="442"/>
      <c r="DU60" s="442"/>
      <c r="DV60" s="442"/>
      <c r="DW60" s="442"/>
      <c r="DX60" s="442"/>
      <c r="DY60" s="442"/>
      <c r="DZ60" s="442"/>
      <c r="EA60" s="442"/>
      <c r="EB60" s="442"/>
      <c r="EC60" s="442"/>
      <c r="ED60" s="442"/>
      <c r="EE60" s="442"/>
      <c r="EF60" s="442"/>
      <c r="EG60" s="442"/>
      <c r="EH60" s="442"/>
      <c r="EI60" s="442"/>
      <c r="EJ60" s="442"/>
      <c r="EK60" s="442"/>
      <c r="EL60" s="442"/>
      <c r="EM60" s="442"/>
      <c r="EN60" s="442"/>
      <c r="EO60" s="442"/>
      <c r="EP60" s="442"/>
      <c r="EQ60" s="442"/>
      <c r="ER60" s="442"/>
      <c r="ES60" s="442"/>
      <c r="ET60" s="442"/>
      <c r="EU60" s="442"/>
      <c r="EV60" s="442"/>
      <c r="EW60" s="442"/>
      <c r="EX60" s="442"/>
      <c r="EY60" s="442"/>
      <c r="EZ60" s="442"/>
      <c r="FA60" s="442"/>
      <c r="FB60" s="442"/>
      <c r="FC60" s="442"/>
    </row>
    <row r="61" spans="1:159" ht="14" customHeight="1" thickBot="1" x14ac:dyDescent="0.25">
      <c r="A61" s="270" t="str">
        <f>O4</f>
        <v>z2</v>
      </c>
      <c r="B61" s="286">
        <f>IF('Raw Data Input'!O$39&lt;&gt;"",IF('Raw Data Input'!AT$56="off",'Data Reduction Engine'!M$34,'Data Reduction Engine'!M$44),'Data Reduction Engine'!M$34)</f>
        <v>50.687193870544434</v>
      </c>
      <c r="C61" s="318">
        <f>'Data Reduction Engine'!M45</f>
        <v>6.3400729101344204</v>
      </c>
      <c r="D61" s="255">
        <f>'Data Reduction Engine'!M46</f>
        <v>44.694948975797345</v>
      </c>
      <c r="E61" s="288">
        <f>'Data Reduction Engine'!M47</f>
        <v>0.13509022806450527</v>
      </c>
      <c r="F61" s="255">
        <f>IF('Raw Data Input'!AT$56="off",'Data Reduction Engine'!M$38,'Data Reduction Engine'!M$48)</f>
        <v>44.583366333731767</v>
      </c>
      <c r="G61" s="288">
        <f>'Data Reduction Engine'!M49</f>
        <v>3.4508593321526469E-2</v>
      </c>
      <c r="H61" s="256">
        <f>'Data Reduction Engine'!M213</f>
        <v>0.39899135325685264</v>
      </c>
      <c r="I61" s="302">
        <f>'Data Reduction Engine'!M59</f>
        <v>12.14993876110395</v>
      </c>
      <c r="J61" s="286">
        <f t="shared" si="9"/>
        <v>30.451634257052099</v>
      </c>
      <c r="K61" s="503">
        <f>'Data Reduction Engine'!M55</f>
        <v>0.59140245095066513</v>
      </c>
      <c r="L61" s="315">
        <f>'Data Reduction Engine'!M222</f>
        <v>1.6000000000000001E-3</v>
      </c>
      <c r="M61" s="313">
        <f>'Data Reduction Engine'!M224</f>
        <v>7.6421940737198468E-4</v>
      </c>
      <c r="N61" s="97"/>
      <c r="O61" s="637"/>
      <c r="P61" s="632" t="str">
        <f>CONCATENATE("± ",ROUND(BN83,3)," [",ROUND(BN87,2),"]")</f>
        <v>± 359.531 [359.32]</v>
      </c>
      <c r="Q61" s="638"/>
      <c r="R61" s="634" t="s">
        <v>469</v>
      </c>
      <c r="S61" s="639" t="s">
        <v>32</v>
      </c>
      <c r="T61" s="597">
        <f>COUNTA(N$51:N$80)</f>
        <v>6</v>
      </c>
      <c r="V61" s="667" t="str">
        <f t="shared" si="0"/>
        <v/>
      </c>
      <c r="W61" s="668" t="str">
        <f t="shared" si="1"/>
        <v/>
      </c>
      <c r="X61" s="669">
        <f t="shared" si="10"/>
        <v>11.709110887369476</v>
      </c>
      <c r="Y61" s="621"/>
      <c r="Z61" s="608"/>
      <c r="AA61" s="291"/>
      <c r="AB61" s="291"/>
      <c r="AD61" s="723"/>
      <c r="AE61" s="714" t="s">
        <v>205</v>
      </c>
      <c r="AF61" s="714"/>
      <c r="AG61" s="724">
        <f>AG55</f>
        <v>5.920621E-3</v>
      </c>
      <c r="AK61" s="784" t="s">
        <v>348</v>
      </c>
      <c r="AL61" s="771"/>
      <c r="AM61" s="771"/>
      <c r="AN61" s="771"/>
      <c r="AO61" s="771"/>
      <c r="AP61" s="785"/>
      <c r="AX61" s="344"/>
      <c r="AY61" s="344"/>
      <c r="AZ61" s="344"/>
      <c r="BA61" s="344"/>
      <c r="BB61" s="344"/>
      <c r="BC61" s="344"/>
      <c r="BD61" s="344"/>
      <c r="BE61" s="344"/>
      <c r="BF61" s="344"/>
      <c r="BG61" s="344"/>
      <c r="BH61" s="344"/>
      <c r="BJ61" s="437"/>
      <c r="BK61" s="364" t="str">
        <f t="shared" si="11"/>
        <v/>
      </c>
      <c r="BL61" s="382" t="str">
        <f t="shared" si="2"/>
        <v/>
      </c>
      <c r="BM61" s="383" t="str">
        <f t="shared" si="3"/>
        <v/>
      </c>
      <c r="BN61" s="475"/>
      <c r="BO61" s="384" t="str">
        <f t="shared" si="4"/>
        <v/>
      </c>
      <c r="BP61" s="385" t="str">
        <f t="shared" si="5"/>
        <v/>
      </c>
      <c r="BQ61" s="469"/>
      <c r="BR61" s="384" t="str">
        <f t="shared" si="6"/>
        <v/>
      </c>
      <c r="BS61" s="385" t="str">
        <f t="shared" si="7"/>
        <v/>
      </c>
      <c r="BT61" s="386"/>
      <c r="BU61" s="329"/>
      <c r="BV61" s="371">
        <f>IF('Raw Data Input'!AT$56="off",'Data Reduction Engine'!M$77,'Data Reduction Engine'!M$90)</f>
        <v>4.702874212656781E-2</v>
      </c>
      <c r="BW61" s="388">
        <f>'Data Reduction Engine'!M78</f>
        <v>0.26579095514272977</v>
      </c>
      <c r="BX61" s="387">
        <f>'Data Reduction Engine'!M69</f>
        <v>4.500097716118831E-2</v>
      </c>
      <c r="BY61" s="388">
        <f>'Data Reduction Engine'!M70</f>
        <v>0.30895041037955456</v>
      </c>
      <c r="BZ61" s="371">
        <f>IF('Raw Data Input'!AT$56="off",'Data Reduction Engine'!M$71,'Data Reduction Engine'!M$84)</f>
        <v>6.9399654224771897E-3</v>
      </c>
      <c r="CA61" s="388">
        <f>'Data Reduction Engine'!M85</f>
        <v>7.7670360813122202E-2</v>
      </c>
      <c r="CB61" s="373" t="str">
        <f t="shared" si="12"/>
        <v/>
      </c>
      <c r="CC61" s="373"/>
      <c r="CD61" s="374" t="str">
        <f t="shared" si="13"/>
        <v/>
      </c>
      <c r="CE61" s="375" t="str">
        <f t="shared" si="14"/>
        <v/>
      </c>
      <c r="CF61" s="375" t="str">
        <f t="shared" si="15"/>
        <v/>
      </c>
      <c r="CG61" s="374" t="str">
        <f t="shared" si="16"/>
        <v/>
      </c>
      <c r="CH61" s="375" t="str">
        <f t="shared" si="17"/>
        <v/>
      </c>
      <c r="CI61" s="375" t="str">
        <f t="shared" si="18"/>
        <v/>
      </c>
      <c r="CJ61" s="374" t="str">
        <f t="shared" si="19"/>
        <v/>
      </c>
      <c r="CK61" s="375" t="str">
        <f t="shared" si="20"/>
        <v/>
      </c>
      <c r="CL61" s="375" t="str">
        <f t="shared" si="21"/>
        <v/>
      </c>
      <c r="CM61" s="376"/>
      <c r="CN61" s="377" t="str">
        <f t="shared" si="22"/>
        <v/>
      </c>
      <c r="CO61" s="377" t="str">
        <f t="shared" si="23"/>
        <v/>
      </c>
      <c r="CP61" s="377" t="str">
        <f t="shared" si="8"/>
        <v/>
      </c>
      <c r="CS61" s="444"/>
      <c r="CT61" s="445" t="s">
        <v>107</v>
      </c>
      <c r="CU61" s="445"/>
      <c r="CV61" s="445" t="s">
        <v>108</v>
      </c>
      <c r="CW61" s="445"/>
      <c r="CX61" s="445"/>
      <c r="CY61" s="446"/>
      <c r="CZ61" s="444"/>
      <c r="DA61" s="444"/>
      <c r="DB61" s="444"/>
      <c r="DC61" s="447"/>
      <c r="DD61" s="447"/>
      <c r="DE61" s="447"/>
      <c r="DF61" s="447"/>
      <c r="DG61" s="447"/>
      <c r="DH61" s="447"/>
      <c r="DI61" s="447"/>
      <c r="DJ61" s="447"/>
      <c r="DK61" s="447"/>
      <c r="DL61" s="447"/>
      <c r="DM61" s="447"/>
      <c r="DN61" s="447"/>
      <c r="DO61" s="447"/>
      <c r="DP61" s="447"/>
      <c r="DQ61" s="447"/>
      <c r="DR61" s="447"/>
      <c r="DS61" s="447"/>
      <c r="DT61" s="447"/>
      <c r="DU61" s="447"/>
      <c r="DV61" s="447"/>
      <c r="DW61" s="447"/>
      <c r="DX61" s="442"/>
      <c r="DY61" s="442"/>
      <c r="DZ61" s="442"/>
      <c r="EA61" s="442"/>
      <c r="EB61" s="442"/>
      <c r="EC61" s="442"/>
      <c r="ED61" s="442"/>
      <c r="EE61" s="442"/>
      <c r="EF61" s="442"/>
      <c r="EG61" s="442"/>
      <c r="EH61" s="442"/>
      <c r="EI61" s="442"/>
      <c r="EJ61" s="442"/>
      <c r="EK61" s="442"/>
      <c r="EL61" s="442"/>
      <c r="EM61" s="442"/>
      <c r="EN61" s="442"/>
      <c r="EO61" s="442"/>
      <c r="EP61" s="442"/>
      <c r="EQ61" s="442"/>
      <c r="ER61" s="442"/>
      <c r="ES61" s="442"/>
      <c r="ET61" s="442"/>
      <c r="EU61" s="442"/>
      <c r="EV61" s="442"/>
      <c r="EW61" s="442"/>
      <c r="EX61" s="442"/>
      <c r="EY61" s="442"/>
      <c r="EZ61" s="442"/>
      <c r="FA61" s="442"/>
      <c r="FB61" s="442"/>
      <c r="FC61" s="442"/>
    </row>
    <row r="62" spans="1:159" ht="14" customHeight="1" x14ac:dyDescent="0.15">
      <c r="A62" s="270" t="str">
        <f>P4</f>
        <v>z3</v>
      </c>
      <c r="B62" s="286">
        <f>IF('Raw Data Input'!P$39&lt;&gt;"",IF('Raw Data Input'!AT$56="off",'Data Reduction Engine'!N$34,'Data Reduction Engine'!N$44),'Data Reduction Engine'!N$34)</f>
        <v>48.84183406829834</v>
      </c>
      <c r="C62" s="318">
        <f>'Data Reduction Engine'!N45</f>
        <v>5.0304370418369837</v>
      </c>
      <c r="D62" s="255">
        <f>'Data Reduction Engine'!N46</f>
        <v>44.660738857144587</v>
      </c>
      <c r="E62" s="288">
        <f>'Data Reduction Engine'!N47</f>
        <v>0.11089274742298558</v>
      </c>
      <c r="F62" s="255">
        <f>IF('Raw Data Input'!AT$56="off",'Data Reduction Engine'!N$38,'Data Reduction Engine'!N$48)</f>
        <v>44.582927349847445</v>
      </c>
      <c r="G62" s="288">
        <f>'Data Reduction Engine'!N49</f>
        <v>3.206274673428388E-2</v>
      </c>
      <c r="H62" s="256">
        <f>'Data Reduction Engine'!N213</f>
        <v>0.46867826013808833</v>
      </c>
      <c r="I62" s="302">
        <f>'Data Reduction Engine'!N59</f>
        <v>19.1239604996011</v>
      </c>
      <c r="J62" s="286">
        <f t="shared" si="9"/>
        <v>40.80402725308091</v>
      </c>
      <c r="K62" s="503">
        <f>'Data Reduction Engine'!N55</f>
        <v>0.62249200288974094</v>
      </c>
      <c r="L62" s="315">
        <f>'Data Reduction Engine'!N222</f>
        <v>1.6000000000000001E-3</v>
      </c>
      <c r="M62" s="313">
        <f>'Data Reduction Engine'!N224</f>
        <v>7.8382309841712515E-4</v>
      </c>
      <c r="N62" s="97"/>
      <c r="O62" s="640"/>
      <c r="P62" s="641"/>
      <c r="Q62" s="642"/>
      <c r="R62" s="643"/>
      <c r="S62" s="644"/>
      <c r="T62" s="645"/>
      <c r="V62" s="667" t="str">
        <f t="shared" si="0"/>
        <v/>
      </c>
      <c r="W62" s="668" t="str">
        <f t="shared" si="1"/>
        <v/>
      </c>
      <c r="X62" s="669">
        <f t="shared" si="10"/>
        <v>11.709226125666101</v>
      </c>
      <c r="Y62" s="621"/>
      <c r="Z62" s="608"/>
      <c r="AA62" s="291"/>
      <c r="AB62" s="291"/>
      <c r="AD62" s="721" t="s">
        <v>723</v>
      </c>
      <c r="AE62" s="716" t="s">
        <v>204</v>
      </c>
      <c r="AF62" s="716"/>
      <c r="AG62" s="725">
        <f>IF(AG56&gt;0,(1/((1/AG56)-(2*AE66))),"")</f>
        <v>0.99199856751086091</v>
      </c>
      <c r="AK62" s="559"/>
      <c r="AL62" s="563" t="s">
        <v>240</v>
      </c>
      <c r="AM62" s="564">
        <v>0.5</v>
      </c>
      <c r="AN62" s="565">
        <v>25</v>
      </c>
      <c r="AO62" s="542" t="s">
        <v>535</v>
      </c>
      <c r="AP62" s="259"/>
      <c r="AR62" s="560"/>
      <c r="AS62" s="561"/>
      <c r="AT62" s="561"/>
      <c r="AU62" s="561"/>
      <c r="AV62" s="561"/>
      <c r="AW62" s="562"/>
      <c r="BJ62" s="440"/>
      <c r="BK62" s="364" t="str">
        <f t="shared" si="11"/>
        <v/>
      </c>
      <c r="BL62" s="378" t="str">
        <f t="shared" si="2"/>
        <v/>
      </c>
      <c r="BM62" s="379" t="str">
        <f t="shared" si="3"/>
        <v/>
      </c>
      <c r="BN62" s="474"/>
      <c r="BO62" s="380" t="str">
        <f t="shared" si="4"/>
        <v/>
      </c>
      <c r="BP62" s="381" t="str">
        <f t="shared" si="5"/>
        <v/>
      </c>
      <c r="BQ62" s="468"/>
      <c r="BR62" s="380" t="str">
        <f t="shared" si="6"/>
        <v/>
      </c>
      <c r="BS62" s="381" t="str">
        <f t="shared" si="7"/>
        <v/>
      </c>
      <c r="BT62" s="369"/>
      <c r="BU62" s="370"/>
      <c r="BV62" s="371">
        <f>IF('Raw Data Input'!AT$56="off",'Data Reduction Engine'!N$77,'Data Reduction Engine'!N$90)</f>
        <v>4.699241256271177E-2</v>
      </c>
      <c r="BW62" s="372">
        <f>'Data Reduction Engine'!N78</f>
        <v>0.21081459181025836</v>
      </c>
      <c r="BX62" s="371">
        <f>'Data Reduction Engine'!N69</f>
        <v>4.4965769753424256E-2</v>
      </c>
      <c r="BY62" s="372">
        <f>'Data Reduction Engine'!N70</f>
        <v>0.25380096248858669</v>
      </c>
      <c r="BZ62" s="371">
        <f>IF('Raw Data Input'!AT$56="off",'Data Reduction Engine'!N$71,'Data Reduction Engine'!N$84)</f>
        <v>6.9398968525109421E-3</v>
      </c>
      <c r="CA62" s="372">
        <f>'Data Reduction Engine'!N85</f>
        <v>7.216606949151512E-2</v>
      </c>
      <c r="CB62" s="373" t="str">
        <f t="shared" si="12"/>
        <v/>
      </c>
      <c r="CC62" s="373"/>
      <c r="CD62" s="374" t="str">
        <f t="shared" si="13"/>
        <v/>
      </c>
      <c r="CE62" s="375" t="str">
        <f t="shared" si="14"/>
        <v/>
      </c>
      <c r="CF62" s="375" t="str">
        <f t="shared" si="15"/>
        <v/>
      </c>
      <c r="CG62" s="374" t="str">
        <f t="shared" si="16"/>
        <v/>
      </c>
      <c r="CH62" s="375" t="str">
        <f t="shared" si="17"/>
        <v/>
      </c>
      <c r="CI62" s="375" t="str">
        <f t="shared" si="18"/>
        <v/>
      </c>
      <c r="CJ62" s="374" t="str">
        <f t="shared" si="19"/>
        <v/>
      </c>
      <c r="CK62" s="375" t="str">
        <f t="shared" si="20"/>
        <v/>
      </c>
      <c r="CL62" s="375" t="str">
        <f t="shared" si="21"/>
        <v/>
      </c>
      <c r="CM62" s="376"/>
      <c r="CN62" s="377" t="str">
        <f t="shared" si="22"/>
        <v/>
      </c>
      <c r="CO62" s="377" t="str">
        <f t="shared" si="23"/>
        <v/>
      </c>
      <c r="CP62" s="377" t="str">
        <f t="shared" si="8"/>
        <v/>
      </c>
      <c r="CS62" s="448" t="s">
        <v>382</v>
      </c>
      <c r="CT62" s="449">
        <f>((1/$AT$68)*CZ63*EXP(CZ63*CX65))/(EXP(CZ64*CX65)-1)</f>
        <v>-5.8479295265695354E-9</v>
      </c>
      <c r="CU62" s="450" t="s">
        <v>384</v>
      </c>
      <c r="CV62" s="444">
        <f>EXP(CZ64*CX65)-1</f>
        <v>-1.2120561587861678E-3</v>
      </c>
      <c r="CW62" s="451" t="s">
        <v>112</v>
      </c>
      <c r="CX62" s="444">
        <f>DB62*CZ62/200</f>
        <v>3.4177840890455479E-3</v>
      </c>
      <c r="CY62" s="448" t="s">
        <v>96</v>
      </c>
      <c r="CZ62" s="452">
        <f>BV83</f>
        <v>4.5896489526701667E-2</v>
      </c>
      <c r="DA62" s="448" t="s">
        <v>113</v>
      </c>
      <c r="DB62" s="453">
        <f>(CD83/BV83)*100</f>
        <v>14.893444462924116</v>
      </c>
      <c r="DC62" s="454">
        <v>2500000000</v>
      </c>
      <c r="DD62" s="454">
        <f t="shared" ref="DD62:DW62" si="24">IF($CZ62&gt;DC65,DC62+((DC63-DC62)/2),DC62-((DC62-DC64)/2))</f>
        <v>-1250000000</v>
      </c>
      <c r="DE62" s="454">
        <f t="shared" si="24"/>
        <v>625000000</v>
      </c>
      <c r="DF62" s="454">
        <f t="shared" si="24"/>
        <v>-312500000</v>
      </c>
      <c r="DG62" s="454">
        <f t="shared" si="24"/>
        <v>156250000</v>
      </c>
      <c r="DH62" s="454">
        <f t="shared" si="24"/>
        <v>-78125000</v>
      </c>
      <c r="DI62" s="454">
        <f t="shared" si="24"/>
        <v>39062500</v>
      </c>
      <c r="DJ62" s="454">
        <f t="shared" si="24"/>
        <v>-19531250</v>
      </c>
      <c r="DK62" s="454">
        <f t="shared" si="24"/>
        <v>9765625</v>
      </c>
      <c r="DL62" s="454">
        <f t="shared" si="24"/>
        <v>-4882812.5</v>
      </c>
      <c r="DM62" s="454">
        <f t="shared" si="24"/>
        <v>-12207031.25</v>
      </c>
      <c r="DN62" s="454">
        <f t="shared" si="24"/>
        <v>-8544921.875</v>
      </c>
      <c r="DO62" s="454">
        <f t="shared" si="24"/>
        <v>-6713867.1875</v>
      </c>
      <c r="DP62" s="454">
        <f t="shared" si="24"/>
        <v>-7629394.53125</v>
      </c>
      <c r="DQ62" s="454">
        <f t="shared" si="24"/>
        <v>-8087158.203125</v>
      </c>
      <c r="DR62" s="454">
        <f t="shared" si="24"/>
        <v>-7858276.3671875</v>
      </c>
      <c r="DS62" s="454">
        <f t="shared" si="24"/>
        <v>-7743835.44921875</v>
      </c>
      <c r="DT62" s="454">
        <f t="shared" si="24"/>
        <v>-7801055.908203125</v>
      </c>
      <c r="DU62" s="454">
        <f t="shared" si="24"/>
        <v>-7829666.1376953125</v>
      </c>
      <c r="DV62" s="454">
        <f t="shared" si="24"/>
        <v>-7815361.0229492188</v>
      </c>
      <c r="DW62" s="454">
        <f t="shared" si="24"/>
        <v>-7822513.5803222656</v>
      </c>
      <c r="DX62" s="454">
        <f t="shared" ref="DX62:EC62" si="25">IF($CZ62&gt;DW65,DW62+((DW63-DW62)/2),DW62-((DW62-DW64)/2))</f>
        <v>-7818937.3016357422</v>
      </c>
      <c r="DY62" s="454">
        <f t="shared" si="25"/>
        <v>-7817149.1622924805</v>
      </c>
      <c r="DZ62" s="454">
        <f t="shared" si="25"/>
        <v>-7818043.2319641113</v>
      </c>
      <c r="EA62" s="454">
        <f t="shared" si="25"/>
        <v>-7818490.2667999268</v>
      </c>
      <c r="EB62" s="454">
        <f t="shared" si="25"/>
        <v>-7818266.749382019</v>
      </c>
      <c r="EC62" s="454">
        <f t="shared" si="25"/>
        <v>-7818154.9906730652</v>
      </c>
      <c r="ED62" s="442"/>
      <c r="EE62" s="442"/>
      <c r="EF62" s="442"/>
      <c r="EG62" s="442"/>
      <c r="EH62" s="442"/>
      <c r="EI62" s="442"/>
      <c r="EJ62" s="442"/>
      <c r="EK62" s="442"/>
      <c r="EL62" s="442"/>
      <c r="EM62" s="442"/>
      <c r="EN62" s="442"/>
      <c r="EO62" s="442"/>
      <c r="EP62" s="442"/>
      <c r="EQ62" s="442"/>
      <c r="ER62" s="442"/>
      <c r="ES62" s="442"/>
      <c r="ET62" s="442"/>
      <c r="EU62" s="442"/>
      <c r="EV62" s="442"/>
      <c r="EW62" s="442"/>
      <c r="EX62" s="442"/>
      <c r="EY62" s="442"/>
      <c r="EZ62" s="442"/>
      <c r="FA62" s="442"/>
      <c r="FB62" s="442"/>
      <c r="FC62" s="442"/>
    </row>
    <row r="63" spans="1:159" ht="14" customHeight="1" thickBot="1" x14ac:dyDescent="0.25">
      <c r="A63" s="270" t="str">
        <f>Q4</f>
        <v>z4</v>
      </c>
      <c r="B63" s="286">
        <f>IF('Raw Data Input'!Q$39&lt;&gt;"",IF('Raw Data Input'!AT$56="off",'Data Reduction Engine'!O$34,'Data Reduction Engine'!O$44),'Data Reduction Engine'!O$34)</f>
        <v>47.497153282165527</v>
      </c>
      <c r="C63" s="318">
        <f>'Data Reduction Engine'!O45</f>
        <v>12.103209051089406</v>
      </c>
      <c r="D63" s="255">
        <f>'Data Reduction Engine'!O46</f>
        <v>44.615706120451755</v>
      </c>
      <c r="E63" s="288">
        <f>'Data Reduction Engine'!O47</f>
        <v>0.24418398949171272</v>
      </c>
      <c r="F63" s="255">
        <f>IF('Raw Data Input'!AT$56="off",'Data Reduction Engine'!O$38,'Data Reduction Engine'!O$48)</f>
        <v>44.562116182606566</v>
      </c>
      <c r="G63" s="288">
        <f>'Data Reduction Engine'!O49</f>
        <v>3.7170727140367593E-2</v>
      </c>
      <c r="H63" s="256">
        <f>'Data Reduction Engine'!O213</f>
        <v>0.34244614430345494</v>
      </c>
      <c r="I63" s="302">
        <f>'Data Reduction Engine'!O59</f>
        <v>4.9178063652841031</v>
      </c>
      <c r="J63" s="286">
        <f t="shared" si="9"/>
        <v>14.360816867385262</v>
      </c>
      <c r="K63" s="503">
        <f>'Data Reduction Engine'!O55</f>
        <v>0.57376125687434498</v>
      </c>
      <c r="L63" s="315">
        <f>'Data Reduction Engine'!O222</f>
        <v>1.6000000000000001E-3</v>
      </c>
      <c r="M63" s="313">
        <f>'Data Reduction Engine'!O224</f>
        <v>8.8831125256811825E-4</v>
      </c>
      <c r="N63" s="97"/>
      <c r="O63" s="476" t="s">
        <v>543</v>
      </c>
      <c r="P63" s="325"/>
      <c r="V63" s="667" t="str">
        <f t="shared" si="0"/>
        <v/>
      </c>
      <c r="W63" s="668" t="str">
        <f t="shared" si="1"/>
        <v/>
      </c>
      <c r="X63" s="669">
        <f t="shared" si="10"/>
        <v>11.71468929538424</v>
      </c>
      <c r="Y63" s="621"/>
      <c r="Z63" s="608"/>
      <c r="AA63" s="291"/>
      <c r="AB63" s="291"/>
      <c r="AD63" s="726"/>
      <c r="AE63" s="727" t="s">
        <v>205</v>
      </c>
      <c r="AF63" s="727"/>
      <c r="AG63" s="728">
        <f>AG57</f>
        <v>4.7212583000000004E-3</v>
      </c>
      <c r="AK63" s="258"/>
      <c r="AL63" s="563" t="s">
        <v>224</v>
      </c>
      <c r="AM63" s="555">
        <v>7.4999999999999997E-2</v>
      </c>
      <c r="AN63" s="568">
        <v>25</v>
      </c>
      <c r="AO63" s="542" t="s">
        <v>535</v>
      </c>
      <c r="AP63" s="259"/>
      <c r="AR63" s="759" t="s">
        <v>1</v>
      </c>
      <c r="AS63" s="760"/>
      <c r="AT63" s="760"/>
      <c r="AU63" s="760"/>
      <c r="AV63" s="760"/>
      <c r="AW63" s="761"/>
      <c r="BJ63" s="437"/>
      <c r="BK63" s="364" t="str">
        <f t="shared" si="11"/>
        <v/>
      </c>
      <c r="BL63" s="382" t="str">
        <f t="shared" si="2"/>
        <v/>
      </c>
      <c r="BM63" s="383" t="str">
        <f t="shared" si="3"/>
        <v/>
      </c>
      <c r="BN63" s="475"/>
      <c r="BO63" s="384" t="str">
        <f t="shared" si="4"/>
        <v/>
      </c>
      <c r="BP63" s="385" t="str">
        <f t="shared" si="5"/>
        <v/>
      </c>
      <c r="BQ63" s="469"/>
      <c r="BR63" s="384" t="str">
        <f t="shared" si="6"/>
        <v/>
      </c>
      <c r="BS63" s="385" t="str">
        <f t="shared" si="7"/>
        <v/>
      </c>
      <c r="BT63" s="386"/>
      <c r="BU63" s="329"/>
      <c r="BV63" s="371">
        <f>IF('Raw Data Input'!AT$56="off",'Data Reduction Engine'!O$77,'Data Reduction Engine'!O$90)</f>
        <v>4.6965979528843516E-2</v>
      </c>
      <c r="BW63" s="388">
        <f>'Data Reduction Engine'!O78</f>
        <v>0.5070909329239891</v>
      </c>
      <c r="BX63" s="387">
        <f>'Data Reduction Engine'!O69</f>
        <v>4.4919426036428602E-2</v>
      </c>
      <c r="BY63" s="388">
        <f>'Data Reduction Engine'!O70</f>
        <v>0.55941728227304455</v>
      </c>
      <c r="BZ63" s="371">
        <f>IF('Raw Data Input'!AT$56="off",'Data Reduction Engine'!O$71,'Data Reduction Engine'!O$84)</f>
        <v>6.9366461211466538E-3</v>
      </c>
      <c r="CA63" s="388">
        <f>'Data Reduction Engine'!O85</f>
        <v>8.3701927476289337E-2</v>
      </c>
      <c r="CB63" s="373" t="str">
        <f t="shared" si="12"/>
        <v/>
      </c>
      <c r="CC63" s="373"/>
      <c r="CD63" s="374" t="str">
        <f t="shared" si="13"/>
        <v/>
      </c>
      <c r="CE63" s="375" t="str">
        <f t="shared" si="14"/>
        <v/>
      </c>
      <c r="CF63" s="375" t="str">
        <f t="shared" si="15"/>
        <v/>
      </c>
      <c r="CG63" s="374" t="str">
        <f t="shared" si="16"/>
        <v/>
      </c>
      <c r="CH63" s="375" t="str">
        <f t="shared" si="17"/>
        <v/>
      </c>
      <c r="CI63" s="375" t="str">
        <f t="shared" si="18"/>
        <v/>
      </c>
      <c r="CJ63" s="374" t="str">
        <f t="shared" si="19"/>
        <v/>
      </c>
      <c r="CK63" s="375" t="str">
        <f t="shared" si="20"/>
        <v/>
      </c>
      <c r="CL63" s="375" t="str">
        <f t="shared" si="21"/>
        <v/>
      </c>
      <c r="CM63" s="376"/>
      <c r="CN63" s="377" t="str">
        <f t="shared" si="22"/>
        <v/>
      </c>
      <c r="CO63" s="377" t="str">
        <f t="shared" si="23"/>
        <v/>
      </c>
      <c r="CP63" s="377" t="str">
        <f t="shared" si="8"/>
        <v/>
      </c>
      <c r="CS63" s="450" t="s">
        <v>383</v>
      </c>
      <c r="CT63" s="444">
        <f>((1/$AT$68)*(EXP(CZ63*CX65)-1)*CZ64*EXP(CZ64*CX65))/((EXP(CZ64*CX65)-1)^2)</f>
        <v>-5.8669419747132395E-9</v>
      </c>
      <c r="CU63" s="448" t="s">
        <v>109</v>
      </c>
      <c r="CV63" s="449">
        <f>(1/$AT$68)*CX65*EXP(CZ63*CX65)</f>
        <v>-56267.686561057679</v>
      </c>
      <c r="CW63" s="451" t="s">
        <v>114</v>
      </c>
      <c r="CX63" s="444">
        <f>DB63*CZ63/200</f>
        <v>6.6969800000000002E-13</v>
      </c>
      <c r="CY63" s="455" t="s">
        <v>115</v>
      </c>
      <c r="CZ63" s="456">
        <f>AT64</f>
        <v>9.8484999999999996E-10</v>
      </c>
      <c r="DA63" s="457" t="s">
        <v>116</v>
      </c>
      <c r="DB63" s="453">
        <f>BY86</f>
        <v>0.13600000000000001</v>
      </c>
      <c r="DC63" s="454">
        <v>5000000000</v>
      </c>
      <c r="DD63" s="454">
        <f t="shared" ref="DD63:DW63" si="26">IF($CZ62&lt;DC65,DC62,DC63)</f>
        <v>2500000000</v>
      </c>
      <c r="DE63" s="454">
        <f t="shared" si="26"/>
        <v>2500000000</v>
      </c>
      <c r="DF63" s="454">
        <f t="shared" si="26"/>
        <v>625000000</v>
      </c>
      <c r="DG63" s="454">
        <f t="shared" si="26"/>
        <v>625000000</v>
      </c>
      <c r="DH63" s="454">
        <f t="shared" si="26"/>
        <v>156250000</v>
      </c>
      <c r="DI63" s="454">
        <f t="shared" si="26"/>
        <v>156250000</v>
      </c>
      <c r="DJ63" s="454">
        <f t="shared" si="26"/>
        <v>39062500</v>
      </c>
      <c r="DK63" s="454">
        <f t="shared" si="26"/>
        <v>39062500</v>
      </c>
      <c r="DL63" s="454">
        <f t="shared" si="26"/>
        <v>9765625</v>
      </c>
      <c r="DM63" s="454">
        <f t="shared" si="26"/>
        <v>-4882812.5</v>
      </c>
      <c r="DN63" s="454">
        <f t="shared" si="26"/>
        <v>-4882812.5</v>
      </c>
      <c r="DO63" s="454">
        <f t="shared" si="26"/>
        <v>-4882812.5</v>
      </c>
      <c r="DP63" s="454">
        <f t="shared" si="26"/>
        <v>-6713867.1875</v>
      </c>
      <c r="DQ63" s="454">
        <f t="shared" si="26"/>
        <v>-7629394.53125</v>
      </c>
      <c r="DR63" s="454">
        <f t="shared" si="26"/>
        <v>-7629394.53125</v>
      </c>
      <c r="DS63" s="454">
        <f t="shared" si="26"/>
        <v>-7629394.53125</v>
      </c>
      <c r="DT63" s="454">
        <f t="shared" si="26"/>
        <v>-7743835.44921875</v>
      </c>
      <c r="DU63" s="454">
        <f t="shared" si="26"/>
        <v>-7801055.908203125</v>
      </c>
      <c r="DV63" s="454">
        <f t="shared" si="26"/>
        <v>-7801055.908203125</v>
      </c>
      <c r="DW63" s="454">
        <f t="shared" si="26"/>
        <v>-7815361.0229492188</v>
      </c>
      <c r="DX63" s="454">
        <f t="shared" ref="DX63:EC63" si="27">IF($CZ62&lt;DW65,DW62,DW63)</f>
        <v>-7815361.0229492188</v>
      </c>
      <c r="DY63" s="454">
        <f t="shared" si="27"/>
        <v>-7815361.0229492188</v>
      </c>
      <c r="DZ63" s="454">
        <f t="shared" si="27"/>
        <v>-7817149.1622924805</v>
      </c>
      <c r="EA63" s="454">
        <f t="shared" si="27"/>
        <v>-7818043.2319641113</v>
      </c>
      <c r="EB63" s="454">
        <f t="shared" si="27"/>
        <v>-7818043.2319641113</v>
      </c>
      <c r="EC63" s="454">
        <f t="shared" si="27"/>
        <v>-7818043.2319641113</v>
      </c>
      <c r="ED63" s="442"/>
      <c r="EE63" s="442"/>
      <c r="EF63" s="442"/>
      <c r="EG63" s="442"/>
      <c r="EH63" s="442"/>
      <c r="EI63" s="442"/>
      <c r="EJ63" s="442"/>
      <c r="EK63" s="442"/>
      <c r="EL63" s="442"/>
      <c r="EM63" s="442"/>
      <c r="EN63" s="442"/>
      <c r="EO63" s="442"/>
      <c r="EP63" s="442"/>
      <c r="EQ63" s="442"/>
      <c r="ER63" s="442"/>
      <c r="ES63" s="442"/>
      <c r="ET63" s="442"/>
      <c r="EU63" s="442"/>
      <c r="EV63" s="442"/>
      <c r="EW63" s="442"/>
      <c r="EX63" s="442"/>
      <c r="EY63" s="442"/>
      <c r="EZ63" s="442"/>
      <c r="FA63" s="442"/>
      <c r="FB63" s="442"/>
      <c r="FC63" s="442"/>
    </row>
    <row r="64" spans="1:159" ht="14" customHeight="1" x14ac:dyDescent="0.15">
      <c r="A64" s="270" t="str">
        <f>R4</f>
        <v>z5</v>
      </c>
      <c r="B64" s="286">
        <f>IF('Raw Data Input'!R$39&lt;&gt;"",IF('Raw Data Input'!AT$56="off",'Data Reduction Engine'!P$34,'Data Reduction Engine'!P$44),'Data Reduction Engine'!P$34)</f>
        <v>39.80100154876709</v>
      </c>
      <c r="C64" s="318">
        <f>'Data Reduction Engine'!P45</f>
        <v>6.3924519399068425</v>
      </c>
      <c r="D64" s="255">
        <f>'Data Reduction Engine'!P46</f>
        <v>44.484797975892967</v>
      </c>
      <c r="E64" s="288">
        <f>'Data Reduction Engine'!P47</f>
        <v>0.13618390751313772</v>
      </c>
      <c r="F64" s="255">
        <f>IF('Raw Data Input'!AT$56="off",'Data Reduction Engine'!P$38,'Data Reduction Engine'!P$48)</f>
        <v>44.571683674332611</v>
      </c>
      <c r="G64" s="288">
        <f>'Data Reduction Engine'!P49</f>
        <v>3.8814586689000105E-2</v>
      </c>
      <c r="H64" s="256">
        <f>'Data Reduction Engine'!P213</f>
        <v>0.32235955776182756</v>
      </c>
      <c r="I64" s="302">
        <f>'Data Reduction Engine'!P59</f>
        <v>10.27438417102249</v>
      </c>
      <c r="J64" s="286">
        <f t="shared" si="9"/>
        <v>31.87243537110702</v>
      </c>
      <c r="K64" s="503">
        <f>'Data Reduction Engine'!P55</f>
        <v>0.60555586840707221</v>
      </c>
      <c r="L64" s="315">
        <f>'Data Reduction Engine'!P222</f>
        <v>1.6000000000000001E-3</v>
      </c>
      <c r="M64" s="313">
        <f>'Data Reduction Engine'!P224</f>
        <v>9.3330814886403285E-4</v>
      </c>
      <c r="N64" s="97"/>
      <c r="V64" s="667" t="str">
        <f t="shared" si="0"/>
        <v/>
      </c>
      <c r="W64" s="668" t="str">
        <f t="shared" si="1"/>
        <v/>
      </c>
      <c r="X64" s="669">
        <f t="shared" si="10"/>
        <v>11.71217771924479</v>
      </c>
      <c r="Y64" s="621"/>
      <c r="Z64" s="608"/>
      <c r="AK64" s="258"/>
      <c r="AL64" s="554"/>
      <c r="AM64" s="554"/>
      <c r="AN64" s="554"/>
      <c r="AO64" s="554"/>
      <c r="AP64" s="547"/>
      <c r="AQ64" s="546"/>
      <c r="AR64" s="258"/>
      <c r="AS64" s="687" t="s">
        <v>536</v>
      </c>
      <c r="AT64" s="566">
        <v>9.8484999999999996E-10</v>
      </c>
      <c r="AU64" s="567"/>
      <c r="AV64" s="542" t="s">
        <v>537</v>
      </c>
      <c r="AW64" s="259"/>
      <c r="BJ64" s="440"/>
      <c r="BK64" s="364" t="str">
        <f t="shared" si="11"/>
        <v/>
      </c>
      <c r="BL64" s="382" t="str">
        <f t="shared" si="2"/>
        <v/>
      </c>
      <c r="BM64" s="383" t="str">
        <f t="shared" si="3"/>
        <v/>
      </c>
      <c r="BN64" s="475"/>
      <c r="BO64" s="384" t="str">
        <f t="shared" si="4"/>
        <v/>
      </c>
      <c r="BP64" s="385" t="str">
        <f t="shared" si="5"/>
        <v/>
      </c>
      <c r="BQ64" s="469"/>
      <c r="BR64" s="384" t="str">
        <f t="shared" si="6"/>
        <v/>
      </c>
      <c r="BS64" s="385" t="str">
        <f t="shared" si="7"/>
        <v/>
      </c>
      <c r="BT64" s="386"/>
      <c r="BU64" s="329"/>
      <c r="BV64" s="371">
        <f>IF('Raw Data Input'!AT$56="off",'Data Reduction Engine'!P$77,'Data Reduction Engine'!P$90)</f>
        <v>4.6815048765959745E-2</v>
      </c>
      <c r="BW64" s="388">
        <f>'Data Reduction Engine'!P78</f>
        <v>0.2674386680825539</v>
      </c>
      <c r="BX64" s="387">
        <f>'Data Reduction Engine'!P69</f>
        <v>4.4784718602128161E-2</v>
      </c>
      <c r="BY64" s="388">
        <f>'Data Reduction Engine'!P70</f>
        <v>0.31289083520205679</v>
      </c>
      <c r="BZ64" s="371">
        <f>IF('Raw Data Input'!AT$56="off",'Data Reduction Engine'!P$71,'Data Reduction Engine'!P$84)</f>
        <v>6.938140574482555E-3</v>
      </c>
      <c r="CA64" s="388">
        <f>'Data Reduction Engine'!P85</f>
        <v>8.7384912741234153E-2</v>
      </c>
      <c r="CB64" s="373" t="str">
        <f t="shared" si="12"/>
        <v/>
      </c>
      <c r="CC64" s="373"/>
      <c r="CD64" s="374" t="str">
        <f t="shared" si="13"/>
        <v/>
      </c>
      <c r="CE64" s="375" t="str">
        <f t="shared" si="14"/>
        <v/>
      </c>
      <c r="CF64" s="375" t="str">
        <f t="shared" si="15"/>
        <v/>
      </c>
      <c r="CG64" s="374" t="str">
        <f t="shared" si="16"/>
        <v/>
      </c>
      <c r="CH64" s="375" t="str">
        <f t="shared" si="17"/>
        <v/>
      </c>
      <c r="CI64" s="375" t="str">
        <f t="shared" si="18"/>
        <v/>
      </c>
      <c r="CJ64" s="374" t="str">
        <f t="shared" si="19"/>
        <v/>
      </c>
      <c r="CK64" s="375" t="str">
        <f t="shared" si="20"/>
        <v/>
      </c>
      <c r="CL64" s="375" t="str">
        <f t="shared" si="21"/>
        <v/>
      </c>
      <c r="CM64" s="376"/>
      <c r="CN64" s="377" t="str">
        <f t="shared" si="22"/>
        <v/>
      </c>
      <c r="CO64" s="377" t="str">
        <f t="shared" si="23"/>
        <v/>
      </c>
      <c r="CP64" s="377" t="str">
        <f t="shared" si="8"/>
        <v/>
      </c>
      <c r="CS64" s="450" t="s">
        <v>384</v>
      </c>
      <c r="CT64" s="444">
        <f>CT62-CT63</f>
        <v>1.9012448143704006E-11</v>
      </c>
      <c r="CU64" s="448" t="s">
        <v>110</v>
      </c>
      <c r="CV64" s="449">
        <f>CZ62*CX65*EXP(CZ64*CX65)</f>
        <v>-358390.95154353062</v>
      </c>
      <c r="CW64" s="451" t="s">
        <v>117</v>
      </c>
      <c r="CX64" s="444">
        <f>DB64*CZ64/200</f>
        <v>8.3767499999999989E-14</v>
      </c>
      <c r="CY64" s="455" t="s">
        <v>118</v>
      </c>
      <c r="CZ64" s="456">
        <f>AT65</f>
        <v>1.5512499999999999E-10</v>
      </c>
      <c r="DA64" s="457" t="s">
        <v>116</v>
      </c>
      <c r="DB64" s="458">
        <f>CA86</f>
        <v>0.108</v>
      </c>
      <c r="DC64" s="454">
        <v>-5000000000</v>
      </c>
      <c r="DD64" s="454">
        <f t="shared" ref="DD64:DW64" si="28">IF($CZ62&gt;DC65,DC62,DC64)</f>
        <v>-5000000000</v>
      </c>
      <c r="DE64" s="454">
        <f t="shared" si="28"/>
        <v>-1250000000</v>
      </c>
      <c r="DF64" s="454">
        <f t="shared" si="28"/>
        <v>-1250000000</v>
      </c>
      <c r="DG64" s="454">
        <f t="shared" si="28"/>
        <v>-312500000</v>
      </c>
      <c r="DH64" s="454">
        <f t="shared" si="28"/>
        <v>-312500000</v>
      </c>
      <c r="DI64" s="454">
        <f t="shared" si="28"/>
        <v>-78125000</v>
      </c>
      <c r="DJ64" s="454">
        <f t="shared" si="28"/>
        <v>-78125000</v>
      </c>
      <c r="DK64" s="454">
        <f t="shared" si="28"/>
        <v>-19531250</v>
      </c>
      <c r="DL64" s="454">
        <f t="shared" si="28"/>
        <v>-19531250</v>
      </c>
      <c r="DM64" s="454">
        <f t="shared" si="28"/>
        <v>-19531250</v>
      </c>
      <c r="DN64" s="454">
        <f t="shared" si="28"/>
        <v>-12207031.25</v>
      </c>
      <c r="DO64" s="454">
        <f t="shared" si="28"/>
        <v>-8544921.875</v>
      </c>
      <c r="DP64" s="454">
        <f t="shared" si="28"/>
        <v>-8544921.875</v>
      </c>
      <c r="DQ64" s="454">
        <f t="shared" si="28"/>
        <v>-8544921.875</v>
      </c>
      <c r="DR64" s="454">
        <f t="shared" si="28"/>
        <v>-8087158.203125</v>
      </c>
      <c r="DS64" s="454">
        <f t="shared" si="28"/>
        <v>-7858276.3671875</v>
      </c>
      <c r="DT64" s="454">
        <f t="shared" si="28"/>
        <v>-7858276.3671875</v>
      </c>
      <c r="DU64" s="454">
        <f t="shared" si="28"/>
        <v>-7858276.3671875</v>
      </c>
      <c r="DV64" s="454">
        <f t="shared" si="28"/>
        <v>-7829666.1376953125</v>
      </c>
      <c r="DW64" s="454">
        <f t="shared" si="28"/>
        <v>-7829666.1376953125</v>
      </c>
      <c r="DX64" s="454">
        <f t="shared" ref="DX64:EC64" si="29">IF($CZ62&gt;DW65,DW62,DW64)</f>
        <v>-7822513.5803222656</v>
      </c>
      <c r="DY64" s="454">
        <f t="shared" si="29"/>
        <v>-7818937.3016357422</v>
      </c>
      <c r="DZ64" s="454">
        <f t="shared" si="29"/>
        <v>-7818937.3016357422</v>
      </c>
      <c r="EA64" s="454">
        <f t="shared" si="29"/>
        <v>-7818937.3016357422</v>
      </c>
      <c r="EB64" s="454">
        <f t="shared" si="29"/>
        <v>-7818490.2667999268</v>
      </c>
      <c r="EC64" s="454">
        <f t="shared" si="29"/>
        <v>-7818266.749382019</v>
      </c>
      <c r="ED64" s="442"/>
      <c r="EE64" s="442"/>
      <c r="EF64" s="442"/>
      <c r="EG64" s="442"/>
      <c r="EH64" s="442"/>
      <c r="EI64" s="442"/>
      <c r="EJ64" s="442"/>
      <c r="EK64" s="442"/>
      <c r="EL64" s="442"/>
      <c r="EM64" s="442"/>
      <c r="EN64" s="442"/>
      <c r="EO64" s="442"/>
      <c r="EP64" s="442"/>
      <c r="EQ64" s="442"/>
      <c r="ER64" s="442"/>
      <c r="ES64" s="442"/>
      <c r="ET64" s="442"/>
      <c r="EU64" s="442"/>
      <c r="EV64" s="442"/>
      <c r="EW64" s="442"/>
      <c r="EX64" s="442"/>
      <c r="EY64" s="442"/>
      <c r="EZ64" s="442"/>
      <c r="FA64" s="442"/>
      <c r="FB64" s="442"/>
      <c r="FC64" s="442"/>
    </row>
    <row r="65" spans="1:159" ht="14" customHeight="1" x14ac:dyDescent="0.2">
      <c r="A65" s="270" t="str">
        <f>S4</f>
        <v>z6</v>
      </c>
      <c r="B65" s="286">
        <f>IF('Raw Data Input'!S$39&lt;&gt;"",IF('Raw Data Input'!AT$56="off",'Data Reduction Engine'!Q$34,'Data Reduction Engine'!Q$44),'Data Reduction Engine'!Q$34)</f>
        <v>13.765692710876465</v>
      </c>
      <c r="C65" s="318">
        <f>'Data Reduction Engine'!Q45</f>
        <v>27.827407642173927</v>
      </c>
      <c r="D65" s="255">
        <f>'Data Reduction Engine'!Q46</f>
        <v>43.954929673932369</v>
      </c>
      <c r="E65" s="288">
        <f>'Data Reduction Engine'!Q47</f>
        <v>0.53436819986602213</v>
      </c>
      <c r="F65" s="255">
        <f>IF('Raw Data Input'!AT$56="off",'Data Reduction Engine'!Q$38,'Data Reduction Engine'!Q$48)</f>
        <v>44.510046706945353</v>
      </c>
      <c r="G65" s="288">
        <f>'Data Reduction Engine'!Q49</f>
        <v>6.0675241987988918E-2</v>
      </c>
      <c r="H65" s="256">
        <f>'Data Reduction Engine'!Q213</f>
        <v>0.24999595425375265</v>
      </c>
      <c r="I65" s="302">
        <f>'Data Reduction Engine'!Q59</f>
        <v>1.9438359818364381</v>
      </c>
      <c r="J65" s="286">
        <f t="shared" si="9"/>
        <v>7.7754697576561265</v>
      </c>
      <c r="K65" s="503">
        <f>'Data Reduction Engine'!Q55</f>
        <v>0.52106430575115625</v>
      </c>
      <c r="L65" s="315">
        <f>'Data Reduction Engine'!Q222</f>
        <v>1.6000000000000001E-3</v>
      </c>
      <c r="M65" s="313">
        <f>'Data Reduction Engine'!Q224</f>
        <v>8.121768119519967E-4</v>
      </c>
      <c r="V65" s="667" t="str">
        <f t="shared" si="0"/>
        <v/>
      </c>
      <c r="W65" s="668" t="str">
        <f t="shared" si="1"/>
        <v/>
      </c>
      <c r="X65" s="669">
        <f t="shared" si="10"/>
        <v>11.728358129014723</v>
      </c>
      <c r="Y65" s="621"/>
      <c r="Z65" s="608"/>
      <c r="AD65" s="738" t="s">
        <v>724</v>
      </c>
      <c r="AE65" s="738"/>
      <c r="AF65" s="738"/>
      <c r="AG65" s="738"/>
      <c r="AK65" s="759" t="s">
        <v>487</v>
      </c>
      <c r="AL65" s="760"/>
      <c r="AM65" s="760"/>
      <c r="AN65" s="760"/>
      <c r="AO65" s="760"/>
      <c r="AP65" s="761"/>
      <c r="AQ65" s="344"/>
      <c r="AR65" s="258"/>
      <c r="AS65" s="687" t="s">
        <v>538</v>
      </c>
      <c r="AT65" s="569">
        <v>1.5512499999999999E-10</v>
      </c>
      <c r="AU65" s="570"/>
      <c r="AV65" s="542" t="s">
        <v>537</v>
      </c>
      <c r="AW65" s="259"/>
      <c r="BJ65" s="440"/>
      <c r="BK65" s="364" t="str">
        <f t="shared" si="11"/>
        <v/>
      </c>
      <c r="BL65" s="382" t="str">
        <f t="shared" si="2"/>
        <v/>
      </c>
      <c r="BM65" s="383" t="str">
        <f t="shared" si="3"/>
        <v/>
      </c>
      <c r="BN65" s="475"/>
      <c r="BO65" s="384" t="str">
        <f t="shared" si="4"/>
        <v/>
      </c>
      <c r="BP65" s="385" t="str">
        <f t="shared" si="5"/>
        <v/>
      </c>
      <c r="BQ65" s="469"/>
      <c r="BR65" s="384" t="str">
        <f t="shared" si="6"/>
        <v/>
      </c>
      <c r="BS65" s="385" t="str">
        <f t="shared" si="7"/>
        <v/>
      </c>
      <c r="BT65" s="386"/>
      <c r="BU65" s="329"/>
      <c r="BV65" s="371">
        <f>IF('Raw Data Input'!AT$56="off",'Data Reduction Engine'!Q$77,'Data Reduction Engine'!Q$90)</f>
        <v>4.6309530348752487E-2</v>
      </c>
      <c r="BW65" s="388">
        <f>'Data Reduction Engine'!Q78</f>
        <v>1.1585016238633983</v>
      </c>
      <c r="BX65" s="387">
        <f>'Data Reduction Engine'!Q69</f>
        <v>4.4239649543690432E-2</v>
      </c>
      <c r="BY65" s="388">
        <f>'Data Reduction Engine'!Q70</f>
        <v>1.2422219416929636</v>
      </c>
      <c r="BZ65" s="371">
        <f>IF('Raw Data Input'!AT$56="off",'Data Reduction Engine'!Q$71,'Data Reduction Engine'!Q$84)</f>
        <v>6.9285128473670762E-3</v>
      </c>
      <c r="CA65" s="388">
        <f>'Data Reduction Engine'!Q85</f>
        <v>0.13678923595631823</v>
      </c>
      <c r="CB65" s="373" t="str">
        <f t="shared" si="12"/>
        <v/>
      </c>
      <c r="CC65" s="373"/>
      <c r="CD65" s="374" t="str">
        <f t="shared" si="13"/>
        <v/>
      </c>
      <c r="CE65" s="375" t="str">
        <f t="shared" si="14"/>
        <v/>
      </c>
      <c r="CF65" s="375" t="str">
        <f t="shared" si="15"/>
        <v/>
      </c>
      <c r="CG65" s="374" t="str">
        <f t="shared" si="16"/>
        <v/>
      </c>
      <c r="CH65" s="375" t="str">
        <f t="shared" si="17"/>
        <v/>
      </c>
      <c r="CI65" s="375" t="str">
        <f t="shared" si="18"/>
        <v/>
      </c>
      <c r="CJ65" s="374" t="str">
        <f t="shared" si="19"/>
        <v/>
      </c>
      <c r="CK65" s="375" t="str">
        <f t="shared" si="20"/>
        <v/>
      </c>
      <c r="CL65" s="375" t="str">
        <f t="shared" si="21"/>
        <v/>
      </c>
      <c r="CM65" s="376"/>
      <c r="CN65" s="377" t="str">
        <f t="shared" si="22"/>
        <v/>
      </c>
      <c r="CO65" s="377" t="str">
        <f t="shared" si="23"/>
        <v/>
      </c>
      <c r="CP65" s="377" t="str">
        <f t="shared" si="8"/>
        <v/>
      </c>
      <c r="CS65" s="451" t="s">
        <v>119</v>
      </c>
      <c r="CT65" s="459">
        <f>SQRT((DB62*CZ62/200)^2/CT64^2)</f>
        <v>179765596.89801711</v>
      </c>
      <c r="CU65" s="451" t="s">
        <v>120</v>
      </c>
      <c r="CV65" s="459">
        <f>SQRT(((CV62*CX62)^2+(CV63*CX63)^2+(CV64*CX64)^2)/(((1/$AT$68)*CZ63*EXP(CZ63*CX65)-CZ62*CZ64*EXP(CZ64*CX65))^2))</f>
        <v>179775285.70126823</v>
      </c>
      <c r="CW65" s="460" t="s">
        <v>111</v>
      </c>
      <c r="CX65" s="459">
        <f>EC62</f>
        <v>-7818154.9906730652</v>
      </c>
      <c r="CY65" s="442"/>
      <c r="CZ65" s="444"/>
      <c r="DA65" s="456"/>
      <c r="DB65" s="456"/>
      <c r="DC65" s="461">
        <f t="shared" ref="DC65:EC65" si="30">(1/$AT$68)*((EXP($CZ63*DC62)-1)/(EXP($CZ64*DC62)-1))</f>
        <v>0.16426096549253039</v>
      </c>
      <c r="DD65" s="461">
        <f t="shared" si="30"/>
        <v>2.9132458562340775E-2</v>
      </c>
      <c r="DE65" s="461">
        <f t="shared" si="30"/>
        <v>6.0598136209060426E-2</v>
      </c>
      <c r="DF65" s="461">
        <f t="shared" si="30"/>
        <v>4.0602544492226937E-2</v>
      </c>
      <c r="DG65" s="461">
        <f t="shared" si="30"/>
        <v>4.9176403000798494E-2</v>
      </c>
      <c r="DH65" s="461">
        <f t="shared" si="30"/>
        <v>4.458774476659827E-2</v>
      </c>
      <c r="DI65" s="461">
        <f t="shared" si="30"/>
        <v>4.6800568079082422E-2</v>
      </c>
      <c r="DJ65" s="461">
        <f t="shared" si="30"/>
        <v>4.5674579231826537E-2</v>
      </c>
      <c r="DK65" s="461">
        <f t="shared" si="30"/>
        <v>4.6232582075470624E-2</v>
      </c>
      <c r="DL65" s="461">
        <f t="shared" si="30"/>
        <v>4.5952345079076556E-2</v>
      </c>
      <c r="DM65" s="461">
        <f t="shared" si="30"/>
        <v>4.5813154787709011E-2</v>
      </c>
      <c r="DN65" s="461">
        <f t="shared" si="30"/>
        <v>4.5882672901345019E-2</v>
      </c>
      <c r="DO65" s="461">
        <f t="shared" si="30"/>
        <v>4.5917489708380423E-2</v>
      </c>
      <c r="DP65" s="461">
        <f t="shared" si="30"/>
        <v>4.5900076487387309E-2</v>
      </c>
      <c r="DQ65" s="461">
        <f t="shared" si="30"/>
        <v>4.5891373490370369E-2</v>
      </c>
      <c r="DR65" s="461">
        <f t="shared" si="30"/>
        <v>4.5895724687830854E-2</v>
      </c>
      <c r="DS65" s="461">
        <f t="shared" si="30"/>
        <v>4.5897900512342528E-2</v>
      </c>
      <c r="DT65" s="461">
        <f t="shared" si="30"/>
        <v>4.5896812581270416E-2</v>
      </c>
      <c r="DU65" s="461">
        <f t="shared" si="30"/>
        <v>4.5896268629846651E-2</v>
      </c>
      <c r="DV65" s="461">
        <f t="shared" si="30"/>
        <v>4.589654060438185E-2</v>
      </c>
      <c r="DW65" s="461">
        <f t="shared" si="30"/>
        <v>4.589640461682247E-2</v>
      </c>
      <c r="DX65" s="461">
        <f t="shared" si="30"/>
        <v>4.5896472610528288E-2</v>
      </c>
      <c r="DY65" s="461">
        <f t="shared" si="30"/>
        <v>4.5896506607439297E-2</v>
      </c>
      <c r="DZ65" s="461">
        <f t="shared" si="30"/>
        <v>4.5896489608979324E-2</v>
      </c>
      <c r="EA65" s="461">
        <f t="shared" si="30"/>
        <v>4.589648110975128E-2</v>
      </c>
      <c r="EB65" s="461">
        <f t="shared" si="30"/>
        <v>4.5896485359366357E-2</v>
      </c>
      <c r="EC65" s="461">
        <f t="shared" si="30"/>
        <v>4.5896487484172049E-2</v>
      </c>
      <c r="ED65" s="442"/>
      <c r="EE65" s="442"/>
      <c r="EF65" s="442"/>
      <c r="EG65" s="442"/>
      <c r="EH65" s="442"/>
      <c r="EI65" s="442"/>
      <c r="EJ65" s="442"/>
      <c r="EK65" s="442"/>
      <c r="EL65" s="442"/>
      <c r="EM65" s="442"/>
      <c r="EN65" s="442"/>
      <c r="EO65" s="442"/>
      <c r="EP65" s="442"/>
      <c r="EQ65" s="442"/>
      <c r="ER65" s="442"/>
      <c r="ES65" s="442"/>
      <c r="ET65" s="442"/>
      <c r="EU65" s="442"/>
      <c r="EV65" s="442"/>
      <c r="EW65" s="442"/>
      <c r="EX65" s="442"/>
      <c r="EY65" s="442"/>
      <c r="EZ65" s="442"/>
      <c r="FA65" s="442"/>
      <c r="FB65" s="442"/>
      <c r="FC65" s="442"/>
    </row>
    <row r="66" spans="1:159" ht="14" customHeight="1" x14ac:dyDescent="0.15">
      <c r="A66" s="270" t="str">
        <f>T4</f>
        <v>z9a</v>
      </c>
      <c r="B66" s="286">
        <f>IF('Raw Data Input'!T$39&lt;&gt;"",IF('Raw Data Input'!AT$56="off",'Data Reduction Engine'!R$34,'Data Reduction Engine'!R$44),'Data Reduction Engine'!R$34)</f>
        <v>-39.109587669372559</v>
      </c>
      <c r="C66" s="318">
        <f>'Data Reduction Engine'!R45</f>
        <v>50.387043516952879</v>
      </c>
      <c r="D66" s="255">
        <f>'Data Reduction Engine'!R46</f>
        <v>27.720036004049547</v>
      </c>
      <c r="E66" s="288">
        <f>'Data Reduction Engine'!R47</f>
        <v>0.60449398821929234</v>
      </c>
      <c r="F66" s="255">
        <f>IF('Raw Data Input'!AT$56="off",'Data Reduction Engine'!R$38,'Data Reduction Engine'!R$48)</f>
        <v>28.496746096429668</v>
      </c>
      <c r="G66" s="288">
        <f>'Data Reduction Engine'!R49</f>
        <v>4.9602426477704131E-2</v>
      </c>
      <c r="H66" s="256">
        <f>'Data Reduction Engine'!R213</f>
        <v>0.48245788788863092</v>
      </c>
      <c r="I66" s="302">
        <f>'Data Reduction Engine'!R59</f>
        <v>2.0481034652577406</v>
      </c>
      <c r="J66" s="286">
        <f t="shared" si="9"/>
        <v>4.2451445331753357</v>
      </c>
      <c r="K66" s="503">
        <f>'Data Reduction Engine'!R55</f>
        <v>0.77147742056705493</v>
      </c>
      <c r="L66" s="315">
        <f>'Data Reduction Engine'!R222</f>
        <v>1.8408761647197291E-3</v>
      </c>
      <c r="M66" s="313">
        <f>'Data Reduction Engine'!R224</f>
        <v>9.4598656491480407E-4</v>
      </c>
      <c r="O66" s="325"/>
      <c r="U66" s="325"/>
      <c r="V66" s="667" t="str">
        <f t="shared" si="0"/>
        <v/>
      </c>
      <c r="W66" s="668" t="str">
        <f t="shared" si="1"/>
        <v/>
      </c>
      <c r="X66" s="669">
        <f t="shared" si="10"/>
        <v>15.932032914299857</v>
      </c>
      <c r="Y66" s="621"/>
      <c r="Z66" s="608"/>
      <c r="AD66" s="729" t="s">
        <v>725</v>
      </c>
      <c r="AE66" s="730">
        <v>2.0500000000000002E-3</v>
      </c>
      <c r="AF66" s="731" t="s">
        <v>726</v>
      </c>
      <c r="AK66" s="258"/>
      <c r="AL66" s="540" t="s">
        <v>187</v>
      </c>
      <c r="AM66" s="545">
        <v>18.042194590863367</v>
      </c>
      <c r="AN66" s="567">
        <v>0.6071393779268438</v>
      </c>
      <c r="AO66" s="542" t="s">
        <v>537</v>
      </c>
      <c r="AP66" s="259"/>
      <c r="AR66" s="548"/>
      <c r="AS66" s="687" t="s">
        <v>539</v>
      </c>
      <c r="AT66" s="569">
        <v>4.9475200000000001E-11</v>
      </c>
      <c r="AU66" s="570"/>
      <c r="AV66" s="542" t="s">
        <v>537</v>
      </c>
      <c r="AW66" s="259"/>
      <c r="BJ66" s="440"/>
      <c r="BK66" s="364" t="str">
        <f t="shared" si="11"/>
        <v/>
      </c>
      <c r="BL66" s="378" t="str">
        <f t="shared" si="2"/>
        <v/>
      </c>
      <c r="BM66" s="379" t="str">
        <f t="shared" si="3"/>
        <v/>
      </c>
      <c r="BN66" s="474"/>
      <c r="BO66" s="380" t="str">
        <f t="shared" si="4"/>
        <v/>
      </c>
      <c r="BP66" s="381" t="str">
        <f t="shared" si="5"/>
        <v/>
      </c>
      <c r="BQ66" s="468"/>
      <c r="BR66" s="380" t="str">
        <f t="shared" si="6"/>
        <v/>
      </c>
      <c r="BS66" s="381" t="str">
        <f t="shared" si="7"/>
        <v/>
      </c>
      <c r="BT66" s="369"/>
      <c r="BU66" s="370"/>
      <c r="BV66" s="371">
        <f>IF('Raw Data Input'!AT$56="off",'Data Reduction Engine'!R$77,'Data Reduction Engine'!R$90)</f>
        <v>4.5307165688968282E-2</v>
      </c>
      <c r="BW66" s="372">
        <f>'Data Reduction Engine'!R78</f>
        <v>2.0777796716416521</v>
      </c>
      <c r="BX66" s="371">
        <f>'Data Reduction Engine'!R69</f>
        <v>2.7676138942832808E-2</v>
      </c>
      <c r="BY66" s="372">
        <f>'Data Reduction Engine'!R70</f>
        <v>2.2106136436390855</v>
      </c>
      <c r="BZ66" s="371">
        <f>IF('Raw Data Input'!AT$56="off",'Data Reduction Engine'!R$71,'Data Reduction Engine'!R$84)</f>
        <v>4.4303428167556617E-3</v>
      </c>
      <c r="CA66" s="372">
        <f>'Data Reduction Engine'!R85</f>
        <v>0.1744484871337304</v>
      </c>
      <c r="CB66" s="373" t="str">
        <f t="shared" si="12"/>
        <v/>
      </c>
      <c r="CC66" s="373"/>
      <c r="CD66" s="374" t="str">
        <f t="shared" si="13"/>
        <v/>
      </c>
      <c r="CE66" s="375" t="str">
        <f t="shared" si="14"/>
        <v/>
      </c>
      <c r="CF66" s="375" t="str">
        <f t="shared" si="15"/>
        <v/>
      </c>
      <c r="CG66" s="374" t="str">
        <f t="shared" si="16"/>
        <v/>
      </c>
      <c r="CH66" s="375" t="str">
        <f t="shared" si="17"/>
        <v/>
      </c>
      <c r="CI66" s="375" t="str">
        <f t="shared" si="18"/>
        <v/>
      </c>
      <c r="CJ66" s="374" t="str">
        <f t="shared" si="19"/>
        <v/>
      </c>
      <c r="CK66" s="375" t="str">
        <f t="shared" si="20"/>
        <v/>
      </c>
      <c r="CL66" s="375" t="str">
        <f t="shared" si="21"/>
        <v/>
      </c>
      <c r="CM66" s="376"/>
      <c r="CN66" s="377" t="str">
        <f t="shared" si="22"/>
        <v/>
      </c>
      <c r="CO66" s="377" t="str">
        <f t="shared" si="23"/>
        <v/>
      </c>
      <c r="CP66" s="377" t="str">
        <f t="shared" si="8"/>
        <v/>
      </c>
      <c r="CS66" s="442"/>
      <c r="CT66" s="442"/>
      <c r="CU66" s="442"/>
      <c r="CV66" s="442"/>
      <c r="CW66" s="442"/>
      <c r="CX66" s="442"/>
      <c r="CY66" s="442"/>
      <c r="CZ66" s="442"/>
      <c r="DA66" s="442"/>
      <c r="DB66" s="442"/>
      <c r="DC66" s="442"/>
      <c r="DD66" s="442"/>
      <c r="DE66" s="442"/>
      <c r="DF66" s="442"/>
      <c r="DG66" s="442"/>
      <c r="DH66" s="442"/>
      <c r="DI66" s="442"/>
      <c r="DJ66" s="442"/>
      <c r="DK66" s="442"/>
      <c r="DL66" s="442"/>
      <c r="DM66" s="442"/>
      <c r="DN66" s="442"/>
      <c r="DO66" s="442"/>
      <c r="DP66" s="442"/>
      <c r="DQ66" s="442"/>
      <c r="DR66" s="442"/>
      <c r="DS66" s="442"/>
      <c r="DT66" s="442"/>
      <c r="DU66" s="442"/>
      <c r="DV66" s="419"/>
      <c r="DW66" s="419"/>
      <c r="DX66" s="419"/>
      <c r="DY66" s="419"/>
      <c r="DZ66" s="419"/>
      <c r="EA66" s="419"/>
      <c r="EB66" s="419"/>
      <c r="EC66" s="419"/>
      <c r="ED66" s="442"/>
      <c r="EE66" s="442"/>
      <c r="EF66" s="442"/>
      <c r="EG66" s="442"/>
      <c r="EH66" s="442"/>
      <c r="EI66" s="442"/>
      <c r="EJ66" s="442"/>
      <c r="EK66" s="442"/>
      <c r="EL66" s="442"/>
      <c r="EM66" s="442"/>
      <c r="EN66" s="442"/>
      <c r="EO66" s="442"/>
      <c r="EP66" s="442"/>
      <c r="EQ66" s="442"/>
      <c r="ER66" s="442"/>
      <c r="ES66" s="442"/>
      <c r="ET66" s="442"/>
      <c r="EU66" s="442"/>
      <c r="EV66" s="442"/>
      <c r="EW66" s="442"/>
      <c r="EX66" s="442"/>
      <c r="EY66" s="442"/>
      <c r="EZ66" s="442"/>
      <c r="FA66" s="442"/>
      <c r="FB66" s="442"/>
      <c r="FC66" s="442"/>
    </row>
    <row r="67" spans="1:159" ht="14" customHeight="1" thickBot="1" x14ac:dyDescent="0.2">
      <c r="A67" s="270" t="str">
        <f>U4</f>
        <v>z9b</v>
      </c>
      <c r="B67" s="286">
        <f>IF('Raw Data Input'!U$39&lt;&gt;"",IF('Raw Data Input'!AT$56="off",'Data Reduction Engine'!S$34,'Data Reduction Engine'!S$44),'Data Reduction Engine'!S$34)</f>
        <v>-21.392703056335449</v>
      </c>
      <c r="C67" s="318">
        <f>'Data Reduction Engine'!S45</f>
        <v>54.634016816243637</v>
      </c>
      <c r="D67" s="255">
        <f>'Data Reduction Engine'!S46</f>
        <v>27.918835588301953</v>
      </c>
      <c r="E67" s="288">
        <f>'Data Reduction Engine'!S47</f>
        <v>0.66171627611250905</v>
      </c>
      <c r="F67" s="255">
        <f>IF('Raw Data Input'!AT$56="off",'Data Reduction Engine'!S$38,'Data Reduction Engine'!S$48)</f>
        <v>28.494959808853316</v>
      </c>
      <c r="G67" s="288">
        <f>'Data Reduction Engine'!S49</f>
        <v>5.4929091329414627E-2</v>
      </c>
      <c r="H67" s="256">
        <f>'Data Reduction Engine'!S213</f>
        <v>0.51042589903097413</v>
      </c>
      <c r="I67" s="302">
        <f>'Data Reduction Engine'!S59</f>
        <v>2.0256883176505673</v>
      </c>
      <c r="J67" s="286">
        <f t="shared" si="9"/>
        <v>3.9686236954203662</v>
      </c>
      <c r="K67" s="503">
        <f>'Data Reduction Engine'!S55</f>
        <v>0.87215545350748536</v>
      </c>
      <c r="L67" s="315">
        <f>'Data Reduction Engine'!S222</f>
        <v>1.9260377576978775E-3</v>
      </c>
      <c r="M67" s="313">
        <f>'Data Reduction Engine'!S224</f>
        <v>8.3316911943689487E-4</v>
      </c>
      <c r="O67" s="325"/>
      <c r="U67" s="325"/>
      <c r="V67" s="667" t="str">
        <f t="shared" si="0"/>
        <v/>
      </c>
      <c r="W67" s="668" t="str">
        <f t="shared" si="1"/>
        <v/>
      </c>
      <c r="X67" s="669">
        <f t="shared" si="10"/>
        <v>15.932501835244178</v>
      </c>
      <c r="AK67" s="258"/>
      <c r="AL67" s="540" t="s">
        <v>190</v>
      </c>
      <c r="AM67" s="552">
        <v>15.53710207768766</v>
      </c>
      <c r="AN67" s="570">
        <v>0.51783738073210117</v>
      </c>
      <c r="AO67" s="542" t="s">
        <v>537</v>
      </c>
      <c r="AP67" s="259"/>
      <c r="AR67" s="559"/>
      <c r="AS67" s="687" t="s">
        <v>540</v>
      </c>
      <c r="AT67" s="569">
        <v>9.1949999999999992E-6</v>
      </c>
      <c r="AU67" s="570"/>
      <c r="AV67" s="542" t="s">
        <v>537</v>
      </c>
      <c r="AW67" s="259"/>
      <c r="BJ67" s="437"/>
      <c r="BK67" s="364" t="str">
        <f t="shared" si="11"/>
        <v/>
      </c>
      <c r="BL67" s="382" t="str">
        <f t="shared" si="2"/>
        <v/>
      </c>
      <c r="BM67" s="383" t="str">
        <f t="shared" si="3"/>
        <v/>
      </c>
      <c r="BN67" s="475"/>
      <c r="BO67" s="384" t="str">
        <f t="shared" si="4"/>
        <v/>
      </c>
      <c r="BP67" s="385" t="str">
        <f t="shared" si="5"/>
        <v/>
      </c>
      <c r="BQ67" s="469"/>
      <c r="BR67" s="384" t="str">
        <f t="shared" si="6"/>
        <v/>
      </c>
      <c r="BS67" s="385" t="str">
        <f t="shared" si="7"/>
        <v/>
      </c>
      <c r="BT67" s="386"/>
      <c r="BU67" s="329"/>
      <c r="BV67" s="371">
        <f>IF('Raw Data Input'!AT$56="off",'Data Reduction Engine'!S$77,'Data Reduction Engine'!S$90)</f>
        <v>4.5639449674190549E-2</v>
      </c>
      <c r="BW67" s="388">
        <f>'Data Reduction Engine'!S78</f>
        <v>2.2605239910641943</v>
      </c>
      <c r="BX67" s="387">
        <f>'Data Reduction Engine'!S69</f>
        <v>2.7877365061088698E-2</v>
      </c>
      <c r="BY67" s="388">
        <f>'Data Reduction Engine'!S70</f>
        <v>2.4028767016850439</v>
      </c>
      <c r="BZ67" s="371">
        <f>IF('Raw Data Input'!AT$56="off",'Data Reduction Engine'!S$71,'Data Reduction Engine'!S$84)</f>
        <v>4.4300644912953465E-3</v>
      </c>
      <c r="CA67" s="388">
        <f>'Data Reduction Engine'!S85</f>
        <v>0.19319410217075333</v>
      </c>
      <c r="CB67" s="373" t="str">
        <f t="shared" si="12"/>
        <v/>
      </c>
      <c r="CC67" s="373"/>
      <c r="CD67" s="374" t="str">
        <f t="shared" si="13"/>
        <v/>
      </c>
      <c r="CE67" s="375" t="str">
        <f t="shared" si="14"/>
        <v/>
      </c>
      <c r="CF67" s="375" t="str">
        <f t="shared" si="15"/>
        <v/>
      </c>
      <c r="CG67" s="374" t="str">
        <f t="shared" si="16"/>
        <v/>
      </c>
      <c r="CH67" s="375" t="str">
        <f t="shared" si="17"/>
        <v/>
      </c>
      <c r="CI67" s="375" t="str">
        <f t="shared" si="18"/>
        <v/>
      </c>
      <c r="CJ67" s="374" t="str">
        <f t="shared" si="19"/>
        <v/>
      </c>
      <c r="CK67" s="375" t="str">
        <f t="shared" si="20"/>
        <v/>
      </c>
      <c r="CL67" s="375" t="str">
        <f t="shared" si="21"/>
        <v/>
      </c>
      <c r="CM67" s="376"/>
      <c r="CN67" s="377" t="str">
        <f t="shared" si="22"/>
        <v/>
      </c>
      <c r="CO67" s="377" t="str">
        <f t="shared" si="23"/>
        <v/>
      </c>
      <c r="CP67" s="377" t="str">
        <f t="shared" si="8"/>
        <v/>
      </c>
      <c r="CS67" s="463" t="s">
        <v>122</v>
      </c>
      <c r="CT67" s="442"/>
      <c r="CU67" s="442"/>
      <c r="CV67" s="442"/>
      <c r="CW67" s="442"/>
      <c r="CX67" s="442"/>
      <c r="CY67" s="442"/>
      <c r="CZ67" s="442"/>
      <c r="DA67" s="442"/>
      <c r="DB67" s="442"/>
      <c r="DC67" s="442"/>
      <c r="DD67" s="442"/>
      <c r="DE67" s="442"/>
      <c r="DF67" s="442"/>
      <c r="DG67" s="442"/>
      <c r="DH67" s="442"/>
      <c r="DI67" s="442"/>
      <c r="DJ67" s="442"/>
      <c r="DK67" s="442"/>
      <c r="DL67" s="442"/>
      <c r="DM67" s="442"/>
      <c r="DN67" s="442"/>
      <c r="DO67" s="442"/>
      <c r="DP67" s="442"/>
      <c r="DQ67" s="442"/>
      <c r="DR67" s="442"/>
      <c r="DS67" s="442"/>
      <c r="DT67" s="442"/>
      <c r="DU67" s="442"/>
      <c r="DV67" s="419"/>
      <c r="DW67" s="419"/>
      <c r="DX67" s="419"/>
      <c r="DY67" s="419"/>
      <c r="DZ67" s="419"/>
      <c r="EA67" s="419"/>
      <c r="EB67" s="419"/>
      <c r="EC67" s="419"/>
      <c r="ED67" s="442"/>
      <c r="EE67" s="442"/>
      <c r="EF67" s="442"/>
      <c r="EG67" s="442"/>
      <c r="EH67" s="442"/>
      <c r="EI67" s="442"/>
      <c r="EJ67" s="442"/>
      <c r="EK67" s="442"/>
      <c r="EL67" s="442"/>
      <c r="EM67" s="442"/>
      <c r="EN67" s="442"/>
      <c r="EO67" s="442"/>
      <c r="EP67" s="442"/>
      <c r="EQ67" s="442"/>
      <c r="ER67" s="442"/>
      <c r="ES67" s="442"/>
      <c r="ET67" s="442"/>
      <c r="EU67" s="442"/>
      <c r="EV67" s="442"/>
      <c r="EW67" s="442"/>
      <c r="EX67" s="442"/>
      <c r="EY67" s="442"/>
      <c r="EZ67" s="442"/>
      <c r="FA67" s="442"/>
      <c r="FB67" s="442"/>
      <c r="FC67" s="442"/>
    </row>
    <row r="68" spans="1:159" ht="14" customHeight="1" x14ac:dyDescent="0.2">
      <c r="A68" s="270" t="str">
        <f>V4</f>
        <v>z10a</v>
      </c>
      <c r="B68" s="286">
        <f>IF('Raw Data Input'!V$39&lt;&gt;"",IF('Raw Data Input'!AT$56="off",'Data Reduction Engine'!T$34,'Data Reduction Engine'!T$44),'Data Reduction Engine'!T$34)</f>
        <v>-1.837611198425293</v>
      </c>
      <c r="C68" s="318">
        <f>'Data Reduction Engine'!T45</f>
        <v>65.178113985472564</v>
      </c>
      <c r="D68" s="255">
        <f>'Data Reduction Engine'!T46</f>
        <v>28.00106561915814</v>
      </c>
      <c r="E68" s="288">
        <f>'Data Reduction Engine'!T47</f>
        <v>0.79211447606902941</v>
      </c>
      <c r="F68" s="255">
        <f>IF('Raw Data Input'!AT$56="off",'Data Reduction Engine'!T$38,'Data Reduction Engine'!T$48)</f>
        <v>28.349950931842137</v>
      </c>
      <c r="G68" s="288">
        <f>'Data Reduction Engine'!T49</f>
        <v>6.0502051934915209E-2</v>
      </c>
      <c r="H68" s="256">
        <f>'Data Reduction Engine'!T213</f>
        <v>0.60180655993823406</v>
      </c>
      <c r="I68" s="302">
        <f>'Data Reduction Engine'!T59</f>
        <v>1.7813343077888371</v>
      </c>
      <c r="J68" s="286">
        <f t="shared" si="9"/>
        <v>2.9599782162089805</v>
      </c>
      <c r="K68" s="503">
        <f>'Data Reduction Engine'!T55</f>
        <v>0.83603167006980939</v>
      </c>
      <c r="L68" s="315">
        <f>'Data Reduction Engine'!T222</f>
        <v>1.4317087975946514E-3</v>
      </c>
      <c r="M68" s="313">
        <f>'Data Reduction Engine'!T224</f>
        <v>8.8562421267319427E-4</v>
      </c>
      <c r="O68" s="325"/>
      <c r="U68" s="325"/>
      <c r="V68" s="667" t="str">
        <f t="shared" si="0"/>
        <v/>
      </c>
      <c r="W68" s="668" t="str">
        <f t="shared" si="1"/>
        <v/>
      </c>
      <c r="X68" s="669">
        <f t="shared" si="10"/>
        <v>15.970568326017112</v>
      </c>
      <c r="AD68" s="732" t="s">
        <v>727</v>
      </c>
      <c r="AE68" s="733"/>
      <c r="AF68" s="733"/>
      <c r="AG68" s="734"/>
      <c r="AK68" s="258"/>
      <c r="AL68" s="549" t="s">
        <v>488</v>
      </c>
      <c r="AM68" s="743">
        <v>37.686306737704669</v>
      </c>
      <c r="AN68" s="744">
        <v>0.62966123209870861</v>
      </c>
      <c r="AO68" s="542" t="s">
        <v>732</v>
      </c>
      <c r="AP68" s="259"/>
      <c r="AR68" s="258"/>
      <c r="AS68" s="540" t="s">
        <v>2</v>
      </c>
      <c r="AT68" s="571">
        <v>137.88</v>
      </c>
      <c r="AU68" s="572"/>
      <c r="AV68" s="542" t="s">
        <v>537</v>
      </c>
      <c r="AW68" s="259"/>
      <c r="BJ68" s="440"/>
      <c r="BK68" s="364" t="str">
        <f t="shared" si="11"/>
        <v/>
      </c>
      <c r="BL68" s="378" t="str">
        <f t="shared" si="2"/>
        <v/>
      </c>
      <c r="BM68" s="379" t="str">
        <f t="shared" si="3"/>
        <v/>
      </c>
      <c r="BN68" s="474"/>
      <c r="BO68" s="380" t="str">
        <f t="shared" si="4"/>
        <v/>
      </c>
      <c r="BP68" s="381" t="str">
        <f t="shared" si="5"/>
        <v/>
      </c>
      <c r="BQ68" s="468"/>
      <c r="BR68" s="380" t="str">
        <f t="shared" si="6"/>
        <v/>
      </c>
      <c r="BS68" s="381" t="str">
        <f t="shared" si="7"/>
        <v/>
      </c>
      <c r="BT68" s="369"/>
      <c r="BU68" s="370"/>
      <c r="BV68" s="371">
        <f>IF('Raw Data Input'!AT$56="off",'Data Reduction Engine'!T$77,'Data Reduction Engine'!T$90)</f>
        <v>4.6010393628588907E-2</v>
      </c>
      <c r="BW68" s="388">
        <f>'Data Reduction Engine'!T78</f>
        <v>2.7068461171990124</v>
      </c>
      <c r="BX68" s="371">
        <f>'Data Reduction Engine'!T69</f>
        <v>2.7960610305095387E-2</v>
      </c>
      <c r="BY68" s="372">
        <f>'Data Reduction Engine'!T70</f>
        <v>2.8680575814522644</v>
      </c>
      <c r="BZ68" s="371">
        <f>IF('Raw Data Input'!AT$56="off",'Data Reduction Engine'!T$71,'Data Reduction Engine'!T$84)</f>
        <v>4.4074705912743343E-3</v>
      </c>
      <c r="CA68" s="372">
        <f>'Data Reduction Engine'!T85</f>
        <v>0.21388110030633911</v>
      </c>
      <c r="CB68" s="373" t="str">
        <f t="shared" si="12"/>
        <v/>
      </c>
      <c r="CC68" s="373"/>
      <c r="CD68" s="374" t="str">
        <f t="shared" si="13"/>
        <v/>
      </c>
      <c r="CE68" s="375" t="str">
        <f t="shared" si="14"/>
        <v/>
      </c>
      <c r="CF68" s="375" t="str">
        <f t="shared" si="15"/>
        <v/>
      </c>
      <c r="CG68" s="374" t="str">
        <f t="shared" si="16"/>
        <v/>
      </c>
      <c r="CH68" s="375" t="str">
        <f t="shared" si="17"/>
        <v/>
      </c>
      <c r="CI68" s="375" t="str">
        <f t="shared" si="18"/>
        <v/>
      </c>
      <c r="CJ68" s="374" t="str">
        <f t="shared" si="19"/>
        <v/>
      </c>
      <c r="CK68" s="375" t="str">
        <f t="shared" si="20"/>
        <v/>
      </c>
      <c r="CL68" s="375" t="str">
        <f t="shared" si="21"/>
        <v/>
      </c>
      <c r="CM68" s="376"/>
      <c r="CN68" s="377" t="str">
        <f t="shared" si="22"/>
        <v/>
      </c>
      <c r="CO68" s="377" t="str">
        <f t="shared" si="23"/>
        <v/>
      </c>
      <c r="CP68" s="377" t="str">
        <f t="shared" si="8"/>
        <v/>
      </c>
      <c r="CS68" s="444"/>
      <c r="CT68" s="445" t="s">
        <v>107</v>
      </c>
      <c r="CU68" s="445"/>
      <c r="CV68" s="445" t="s">
        <v>108</v>
      </c>
      <c r="CW68" s="445"/>
      <c r="CX68" s="445"/>
      <c r="CY68" s="446"/>
      <c r="CZ68" s="444"/>
      <c r="DA68" s="444"/>
      <c r="DB68" s="444"/>
      <c r="DC68" s="442"/>
      <c r="DD68" s="442"/>
      <c r="DE68" s="442"/>
      <c r="DF68" s="442"/>
      <c r="DG68" s="442"/>
      <c r="DH68" s="442"/>
      <c r="DI68" s="442"/>
      <c r="DJ68" s="442"/>
      <c r="DK68" s="442"/>
      <c r="DL68" s="442"/>
      <c r="DM68" s="442"/>
      <c r="DN68" s="442"/>
      <c r="DO68" s="442"/>
      <c r="DP68" s="442"/>
      <c r="DQ68" s="442"/>
      <c r="DR68" s="442"/>
      <c r="DS68" s="442"/>
      <c r="DT68" s="442"/>
      <c r="DU68" s="442"/>
      <c r="DV68" s="419"/>
      <c r="DW68" s="419"/>
      <c r="DX68" s="419"/>
      <c r="DY68" s="419"/>
      <c r="DZ68" s="419"/>
      <c r="EA68" s="419"/>
      <c r="EB68" s="419"/>
      <c r="EC68" s="419"/>
      <c r="ED68" s="442"/>
      <c r="EE68" s="442"/>
      <c r="EF68" s="442"/>
      <c r="EG68" s="442"/>
      <c r="EH68" s="442"/>
      <c r="EI68" s="442"/>
      <c r="EJ68" s="442"/>
      <c r="EK68" s="442"/>
      <c r="EL68" s="442"/>
      <c r="EM68" s="442"/>
      <c r="EN68" s="442"/>
      <c r="EO68" s="442"/>
      <c r="EP68" s="442"/>
      <c r="EQ68" s="442"/>
      <c r="ER68" s="442"/>
      <c r="ES68" s="442"/>
      <c r="ET68" s="442"/>
      <c r="EU68" s="442"/>
      <c r="EV68" s="442"/>
      <c r="EW68" s="442"/>
      <c r="EX68" s="442"/>
      <c r="EY68" s="442"/>
      <c r="EZ68" s="442"/>
      <c r="FA68" s="442"/>
      <c r="FB68" s="442"/>
      <c r="FC68" s="442"/>
    </row>
    <row r="69" spans="1:159" ht="14" customHeight="1" thickBot="1" x14ac:dyDescent="0.2">
      <c r="A69" s="270" t="str">
        <f>W4</f>
        <v>z10b</v>
      </c>
      <c r="B69" s="286">
        <f>IF('Raw Data Input'!W$39&lt;&gt;"",IF('Raw Data Input'!AT$56="off",'Data Reduction Engine'!U$34,'Data Reduction Engine'!U$44),'Data Reduction Engine'!U$34)</f>
        <v>14.570355415344238</v>
      </c>
      <c r="C69" s="318">
        <f>'Data Reduction Engine'!U45</f>
        <v>116.91016820922003</v>
      </c>
      <c r="D69" s="255">
        <f>'Data Reduction Engine'!U46</f>
        <v>28.185781809306604</v>
      </c>
      <c r="E69" s="288">
        <f>'Data Reduction Engine'!U47</f>
        <v>1.4183975300930789</v>
      </c>
      <c r="F69" s="255">
        <f>IF('Raw Data Input'!AT$56="off",'Data Reduction Engine'!U$38,'Data Reduction Engine'!U$48)</f>
        <v>28.345752770172297</v>
      </c>
      <c r="G69" s="288">
        <f>'Data Reduction Engine'!U49</f>
        <v>9.8716002690961646E-2</v>
      </c>
      <c r="H69" s="256">
        <f>'Data Reduction Engine'!U213</f>
        <v>0.63796607344215661</v>
      </c>
      <c r="I69" s="302">
        <f>'Data Reduction Engine'!U59</f>
        <v>1.064434980834899</v>
      </c>
      <c r="J69" s="286">
        <f t="shared" si="9"/>
        <v>1.668482110798968</v>
      </c>
      <c r="K69" s="503">
        <f>'Data Reduction Engine'!U55</f>
        <v>1.0802271724468435</v>
      </c>
      <c r="L69" s="315">
        <f>'Data Reduction Engine'!U222</f>
        <v>1.5233612016612996E-3</v>
      </c>
      <c r="M69" s="313">
        <f>'Data Reduction Engine'!U224</f>
        <v>8.7356326153036382E-4</v>
      </c>
      <c r="O69" s="646" t="s">
        <v>67</v>
      </c>
      <c r="P69" s="647"/>
      <c r="Q69" s="647"/>
      <c r="R69" s="647"/>
      <c r="S69" s="647"/>
      <c r="T69" s="648"/>
      <c r="U69" s="325"/>
      <c r="V69" s="667" t="str">
        <f t="shared" si="0"/>
        <v/>
      </c>
      <c r="W69" s="668" t="str">
        <f t="shared" si="1"/>
        <v/>
      </c>
      <c r="X69" s="669">
        <f t="shared" si="10"/>
        <v>15.971670391530356</v>
      </c>
      <c r="AD69" s="735" t="s">
        <v>718</v>
      </c>
      <c r="AE69" s="736"/>
      <c r="AF69" s="736"/>
      <c r="AG69" s="737"/>
      <c r="AK69" s="258"/>
      <c r="AL69" s="549" t="s">
        <v>733</v>
      </c>
      <c r="AM69" s="745">
        <v>0.99</v>
      </c>
      <c r="AN69" s="746"/>
      <c r="AO69" s="257"/>
      <c r="AP69" s="259"/>
      <c r="AQ69" s="546"/>
      <c r="AR69" s="260"/>
      <c r="AS69" s="264"/>
      <c r="AT69" s="264"/>
      <c r="AU69" s="264"/>
      <c r="AV69" s="264"/>
      <c r="AW69" s="265"/>
      <c r="AX69" s="546"/>
      <c r="AY69" s="546"/>
      <c r="AZ69" s="546"/>
      <c r="BA69" s="546"/>
      <c r="BB69" s="546"/>
      <c r="BC69" s="546"/>
      <c r="BD69" s="546"/>
      <c r="BE69" s="546"/>
      <c r="BF69" s="546"/>
      <c r="BG69" s="546"/>
      <c r="BH69" s="546"/>
      <c r="BJ69" s="437"/>
      <c r="BK69" s="364" t="str">
        <f t="shared" si="11"/>
        <v/>
      </c>
      <c r="BL69" s="382" t="str">
        <f t="shared" si="2"/>
        <v/>
      </c>
      <c r="BM69" s="383" t="str">
        <f t="shared" si="3"/>
        <v/>
      </c>
      <c r="BN69" s="475"/>
      <c r="BO69" s="384" t="str">
        <f t="shared" si="4"/>
        <v/>
      </c>
      <c r="BP69" s="385" t="str">
        <f t="shared" si="5"/>
        <v/>
      </c>
      <c r="BQ69" s="469"/>
      <c r="BR69" s="384" t="str">
        <f t="shared" si="6"/>
        <v/>
      </c>
      <c r="BS69" s="385" t="str">
        <f t="shared" si="7"/>
        <v/>
      </c>
      <c r="BT69" s="386"/>
      <c r="BU69" s="329"/>
      <c r="BV69" s="371">
        <f>IF('Raw Data Input'!AT$56="off",'Data Reduction Engine'!U$77,'Data Reduction Engine'!U$90)</f>
        <v>4.6325020303786206E-2</v>
      </c>
      <c r="BW69" s="388">
        <f>'Data Reduction Engine'!U78</f>
        <v>4.8703804484998736</v>
      </c>
      <c r="BX69" s="387">
        <f>'Data Reduction Engine'!U69</f>
        <v>2.8147631586723631E-2</v>
      </c>
      <c r="BY69" s="388">
        <f>'Data Reduction Engine'!U70</f>
        <v>5.1024842980526133</v>
      </c>
      <c r="BZ69" s="371">
        <f>IF('Raw Data Input'!AT$56="off",'Data Reduction Engine'!U$71,'Data Reduction Engine'!U$84)</f>
        <v>4.4068164813380823E-3</v>
      </c>
      <c r="CA69" s="388">
        <f>'Data Reduction Engine'!U85</f>
        <v>0.34902299592383673</v>
      </c>
      <c r="CB69" s="373" t="str">
        <f t="shared" si="12"/>
        <v/>
      </c>
      <c r="CC69" s="373"/>
      <c r="CD69" s="374" t="str">
        <f t="shared" si="13"/>
        <v/>
      </c>
      <c r="CE69" s="375" t="str">
        <f t="shared" si="14"/>
        <v/>
      </c>
      <c r="CF69" s="375" t="str">
        <f t="shared" si="15"/>
        <v/>
      </c>
      <c r="CG69" s="374" t="str">
        <f t="shared" si="16"/>
        <v/>
      </c>
      <c r="CH69" s="375" t="str">
        <f t="shared" si="17"/>
        <v/>
      </c>
      <c r="CI69" s="375" t="str">
        <f t="shared" si="18"/>
        <v/>
      </c>
      <c r="CJ69" s="374" t="str">
        <f t="shared" si="19"/>
        <v/>
      </c>
      <c r="CK69" s="375" t="str">
        <f t="shared" si="20"/>
        <v/>
      </c>
      <c r="CL69" s="375" t="str">
        <f t="shared" si="21"/>
        <v/>
      </c>
      <c r="CM69" s="376"/>
      <c r="CN69" s="377" t="str">
        <f t="shared" si="22"/>
        <v/>
      </c>
      <c r="CO69" s="377" t="str">
        <f t="shared" si="23"/>
        <v/>
      </c>
      <c r="CP69" s="377" t="str">
        <f t="shared" si="8"/>
        <v/>
      </c>
      <c r="CS69" s="448" t="s">
        <v>382</v>
      </c>
      <c r="CT69" s="449">
        <f>((1/$AT$68)*CZ70*EXP(CZ70*CX72))/(EXP(CZ71*CX72)-1)</f>
        <v>-5.8479295265695354E-9</v>
      </c>
      <c r="CU69" s="450" t="s">
        <v>384</v>
      </c>
      <c r="CV69" s="444">
        <f>EXP(CZ71*CX72)-1</f>
        <v>-1.2120561587861678E-3</v>
      </c>
      <c r="CW69" s="451" t="s">
        <v>112</v>
      </c>
      <c r="CX69" s="444">
        <f>DB69*CZ69/200</f>
        <v>3.4177840890455479E-3</v>
      </c>
      <c r="CY69" s="448" t="s">
        <v>96</v>
      </c>
      <c r="CZ69" s="452">
        <f>BV83</f>
        <v>4.5896489526701667E-2</v>
      </c>
      <c r="DA69" s="448" t="s">
        <v>113</v>
      </c>
      <c r="DB69" s="453">
        <f>(CE83/BV83)*100</f>
        <v>14.893444462924116</v>
      </c>
      <c r="DC69" s="442"/>
      <c r="DD69" s="442"/>
      <c r="DE69" s="442"/>
      <c r="DF69" s="442"/>
      <c r="DG69" s="442"/>
      <c r="DH69" s="442"/>
      <c r="DI69" s="442"/>
      <c r="DJ69" s="442"/>
      <c r="DK69" s="442"/>
      <c r="DL69" s="442"/>
      <c r="DM69" s="442"/>
      <c r="DN69" s="442"/>
      <c r="DO69" s="442"/>
      <c r="DP69" s="442"/>
      <c r="DQ69" s="442"/>
      <c r="DR69" s="442"/>
      <c r="DS69" s="442"/>
      <c r="DT69" s="442"/>
      <c r="DU69" s="442"/>
      <c r="DV69" s="419"/>
      <c r="DW69" s="419"/>
      <c r="DX69" s="419"/>
      <c r="DY69" s="419"/>
      <c r="DZ69" s="419"/>
      <c r="EA69" s="419"/>
      <c r="EB69" s="419"/>
      <c r="EC69" s="419"/>
      <c r="ED69" s="442"/>
      <c r="EE69" s="442"/>
      <c r="EF69" s="442"/>
      <c r="EG69" s="442"/>
      <c r="EH69" s="442"/>
      <c r="EI69" s="442"/>
      <c r="EJ69" s="442"/>
      <c r="EK69" s="442"/>
      <c r="EL69" s="442"/>
      <c r="EM69" s="442"/>
      <c r="EN69" s="442"/>
      <c r="EO69" s="442"/>
      <c r="EP69" s="442"/>
      <c r="EQ69" s="442"/>
      <c r="ER69" s="442"/>
      <c r="ES69" s="442"/>
      <c r="ET69" s="442"/>
      <c r="EU69" s="442"/>
      <c r="EV69" s="442"/>
      <c r="EW69" s="442"/>
      <c r="EX69" s="442"/>
      <c r="EY69" s="442"/>
      <c r="EZ69" s="442"/>
      <c r="FA69" s="442"/>
      <c r="FB69" s="442"/>
      <c r="FC69" s="442"/>
    </row>
    <row r="70" spans="1:159" ht="14" customHeight="1" x14ac:dyDescent="0.2">
      <c r="A70" s="270" t="str">
        <f>X4</f>
        <v>z11a</v>
      </c>
      <c r="B70" s="286">
        <f>IF('Raw Data Input'!X$39&lt;&gt;"",IF('Raw Data Input'!AT$56="off",'Data Reduction Engine'!V$34,'Data Reduction Engine'!V$44),'Data Reduction Engine'!V$34)</f>
        <v>-94.07341480255127</v>
      </c>
      <c r="C70" s="318">
        <f>'Data Reduction Engine'!V45</f>
        <v>204.7959770131647</v>
      </c>
      <c r="D70" s="255">
        <f>'Data Reduction Engine'!V46</f>
        <v>26.873044871636242</v>
      </c>
      <c r="E70" s="288">
        <f>'Data Reduction Engine'!V47</f>
        <v>2.2822281661666448</v>
      </c>
      <c r="F70" s="255">
        <f>IF('Raw Data Input'!AT$56="off",'Data Reduction Engine'!V$38,'Data Reduction Engine'!V$48)</f>
        <v>28.243782111371477</v>
      </c>
      <c r="G70" s="288">
        <f>'Data Reduction Engine'!V49</f>
        <v>0.12912667939152239</v>
      </c>
      <c r="H70" s="256">
        <f>'Data Reduction Engine'!V213</f>
        <v>0.33824133982032467</v>
      </c>
      <c r="I70" s="302">
        <f>'Data Reduction Engine'!V59</f>
        <v>0.51019030358638129</v>
      </c>
      <c r="J70" s="286">
        <f>I70/H70</f>
        <v>1.50836176280935</v>
      </c>
      <c r="K70" s="503">
        <f>'Data Reduction Engine'!V55</f>
        <v>0.77437670073871934</v>
      </c>
      <c r="L70" s="315">
        <f>'Data Reduction Engine'!V222</f>
        <v>1.5806347755361976E-3</v>
      </c>
      <c r="M70" s="313">
        <f>'Data Reduction Engine'!V224</f>
        <v>8.4531020433877826E-4</v>
      </c>
      <c r="O70" s="649">
        <f>TINV(0.05,T53)</f>
        <v>2.4469118511449697</v>
      </c>
      <c r="P70" s="650" t="s">
        <v>544</v>
      </c>
      <c r="Q70" s="651"/>
      <c r="R70" s="651"/>
      <c r="S70" s="651"/>
      <c r="T70" s="652"/>
      <c r="U70" s="325"/>
      <c r="V70" s="667" t="str">
        <f t="shared" si="0"/>
        <v/>
      </c>
      <c r="W70" s="668" t="str">
        <f t="shared" si="1"/>
        <v/>
      </c>
      <c r="X70" s="669">
        <f t="shared" si="10"/>
        <v>15.998438857174374</v>
      </c>
      <c r="AD70" s="710" t="s">
        <v>728</v>
      </c>
      <c r="AE70" s="711" t="s">
        <v>204</v>
      </c>
      <c r="AF70" s="711"/>
      <c r="AG70" s="712">
        <v>0.62989505000000001</v>
      </c>
      <c r="AK70" s="784" t="s">
        <v>491</v>
      </c>
      <c r="AL70" s="771"/>
      <c r="AM70" s="771"/>
      <c r="AN70" s="771"/>
      <c r="AO70" s="771"/>
      <c r="AP70" s="785"/>
      <c r="BJ70" s="440"/>
      <c r="BK70" s="364" t="str">
        <f t="shared" si="11"/>
        <v/>
      </c>
      <c r="BL70" s="378" t="str">
        <f t="shared" si="2"/>
        <v/>
      </c>
      <c r="BM70" s="379" t="str">
        <f t="shared" si="3"/>
        <v/>
      </c>
      <c r="BN70" s="474"/>
      <c r="BO70" s="380" t="str">
        <f t="shared" si="4"/>
        <v/>
      </c>
      <c r="BP70" s="381" t="str">
        <f t="shared" si="5"/>
        <v/>
      </c>
      <c r="BQ70" s="468"/>
      <c r="BR70" s="380" t="str">
        <f t="shared" si="6"/>
        <v/>
      </c>
      <c r="BS70" s="381" t="str">
        <f t="shared" si="7"/>
        <v/>
      </c>
      <c r="BT70" s="369"/>
      <c r="BU70" s="370"/>
      <c r="BV70" s="371">
        <f>IF('Raw Data Input'!AT$56="off",'Data Reduction Engine'!V$77,'Data Reduction Engine'!V$90)</f>
        <v>4.4298496118741156E-2</v>
      </c>
      <c r="BW70" s="372">
        <f>'Data Reduction Engine'!V78</f>
        <v>8.356563354737137</v>
      </c>
      <c r="BX70" s="371">
        <f>'Data Reduction Engine'!V69</f>
        <v>2.6819250859924905E-2</v>
      </c>
      <c r="BY70" s="372">
        <f>'Data Reduction Engine'!V70</f>
        <v>8.6055079439702737</v>
      </c>
      <c r="BZ70" s="371">
        <f>IF('Raw Data Input'!AT$56="off",'Data Reduction Engine'!V$71,'Data Reduction Engine'!V$84)</f>
        <v>4.3909287006523414E-3</v>
      </c>
      <c r="CA70" s="372">
        <f>'Data Reduction Engine'!V85</f>
        <v>0.45818848863278294</v>
      </c>
      <c r="CB70" s="373" t="str">
        <f t="shared" si="12"/>
        <v/>
      </c>
      <c r="CC70" s="373"/>
      <c r="CD70" s="374" t="str">
        <f t="shared" si="13"/>
        <v/>
      </c>
      <c r="CE70" s="375" t="str">
        <f t="shared" si="14"/>
        <v/>
      </c>
      <c r="CF70" s="375" t="str">
        <f t="shared" si="15"/>
        <v/>
      </c>
      <c r="CG70" s="374" t="str">
        <f t="shared" si="16"/>
        <v/>
      </c>
      <c r="CH70" s="375" t="str">
        <f t="shared" si="17"/>
        <v/>
      </c>
      <c r="CI70" s="375" t="str">
        <f t="shared" si="18"/>
        <v/>
      </c>
      <c r="CJ70" s="374" t="str">
        <f t="shared" si="19"/>
        <v/>
      </c>
      <c r="CK70" s="375" t="str">
        <f t="shared" si="20"/>
        <v/>
      </c>
      <c r="CL70" s="375" t="str">
        <f t="shared" si="21"/>
        <v/>
      </c>
      <c r="CM70" s="376"/>
      <c r="CN70" s="377" t="str">
        <f t="shared" si="22"/>
        <v/>
      </c>
      <c r="CO70" s="377" t="str">
        <f t="shared" si="23"/>
        <v/>
      </c>
      <c r="CP70" s="377" t="str">
        <f t="shared" si="8"/>
        <v/>
      </c>
      <c r="CS70" s="450" t="s">
        <v>383</v>
      </c>
      <c r="CT70" s="444">
        <f>((1/$AT$68)*(EXP(CZ70*CX72)-1)*CZ71*EXP(CZ71*CX72))/((EXP(CZ71*CX72)-1)^2)</f>
        <v>-5.8669419747132395E-9</v>
      </c>
      <c r="CU70" s="448" t="s">
        <v>109</v>
      </c>
      <c r="CV70" s="449">
        <f>(1/$AT$68)*CX72*EXP(CZ70*CX72)</f>
        <v>-56267.686561057679</v>
      </c>
      <c r="CW70" s="451" t="s">
        <v>114</v>
      </c>
      <c r="CX70" s="444">
        <f>DB70*CZ70/200</f>
        <v>6.6969800000000002E-13</v>
      </c>
      <c r="CY70" s="455" t="s">
        <v>115</v>
      </c>
      <c r="CZ70" s="456">
        <f>AT64</f>
        <v>9.8484999999999996E-10</v>
      </c>
      <c r="DA70" s="457" t="s">
        <v>116</v>
      </c>
      <c r="DB70" s="453">
        <f>BY86</f>
        <v>0.13600000000000001</v>
      </c>
      <c r="DC70" s="442"/>
      <c r="DD70" s="442"/>
      <c r="DE70" s="442"/>
      <c r="DF70" s="442"/>
      <c r="DG70" s="442"/>
      <c r="DH70" s="442"/>
      <c r="DI70" s="442"/>
      <c r="DJ70" s="442"/>
      <c r="DK70" s="442"/>
      <c r="DL70" s="442"/>
      <c r="DM70" s="442"/>
      <c r="DN70" s="442"/>
      <c r="DO70" s="442"/>
      <c r="DP70" s="442"/>
      <c r="DQ70" s="442"/>
      <c r="DR70" s="442"/>
      <c r="DS70" s="442"/>
      <c r="DT70" s="442"/>
      <c r="DU70" s="442"/>
      <c r="DV70" s="419"/>
      <c r="DW70" s="419"/>
      <c r="DX70" s="419"/>
      <c r="DY70" s="419"/>
      <c r="DZ70" s="419"/>
      <c r="EA70" s="419"/>
      <c r="EB70" s="419"/>
      <c r="EC70" s="419"/>
      <c r="ED70" s="442"/>
      <c r="EE70" s="442"/>
      <c r="EF70" s="442"/>
      <c r="EG70" s="442"/>
      <c r="EH70" s="442"/>
      <c r="EI70" s="442"/>
      <c r="EJ70" s="442"/>
      <c r="EK70" s="442"/>
      <c r="EL70" s="442"/>
      <c r="EM70" s="442"/>
      <c r="EN70" s="442"/>
      <c r="EO70" s="442"/>
      <c r="EP70" s="442"/>
      <c r="EQ70" s="442"/>
      <c r="ER70" s="442"/>
      <c r="ES70" s="442"/>
      <c r="ET70" s="442"/>
      <c r="EU70" s="442"/>
      <c r="EV70" s="442"/>
      <c r="EW70" s="442"/>
      <c r="EX70" s="442"/>
      <c r="EY70" s="442"/>
      <c r="EZ70" s="442"/>
      <c r="FA70" s="442"/>
      <c r="FB70" s="442"/>
      <c r="FC70" s="442"/>
    </row>
    <row r="71" spans="1:159" ht="14" customHeight="1" x14ac:dyDescent="0.15">
      <c r="A71" s="270" t="str">
        <f>Y4</f>
        <v>z11b</v>
      </c>
      <c r="B71" s="286">
        <f>IF('Raw Data Input'!Y$39&lt;&gt;"",IF('Raw Data Input'!AT$56="off",'Data Reduction Engine'!W$34,'Data Reduction Engine'!W$44),'Data Reduction Engine'!W$34)</f>
        <v>-82.361102104187012</v>
      </c>
      <c r="C71" s="318">
        <f>'Data Reduction Engine'!W45</f>
        <v>380.02741794874851</v>
      </c>
      <c r="D71" s="255">
        <f>'Data Reduction Engine'!W46</f>
        <v>26.999440836211921</v>
      </c>
      <c r="E71" s="288">
        <f>'Data Reduction Engine'!W47</f>
        <v>4.2181047179728903</v>
      </c>
      <c r="F71" s="255">
        <f>IF('Raw Data Input'!AT$56="off",'Data Reduction Engine'!W$38,'Data Reduction Engine'!W$48)</f>
        <v>28.24314273742743</v>
      </c>
      <c r="G71" s="288">
        <f>'Data Reduction Engine'!W49</f>
        <v>0.19020488202391206</v>
      </c>
      <c r="H71" s="256">
        <f>'Data Reduction Engine'!W213</f>
        <v>0.45090739253932927</v>
      </c>
      <c r="I71" s="302">
        <f>'Data Reduction Engine'!W59</f>
        <v>0.43039754348968245</v>
      </c>
      <c r="J71" s="286">
        <f t="shared" ref="J71:J80" si="31">I71/H71</f>
        <v>0.95451427634809094</v>
      </c>
      <c r="K71" s="503">
        <f>'Data Reduction Engine'!W55</f>
        <v>0.68244100183841971</v>
      </c>
      <c r="L71" s="315">
        <f>'Data Reduction Engine'!W222</f>
        <v>1.2307693552975711E-3</v>
      </c>
      <c r="M71" s="313">
        <f>'Data Reduction Engine'!W224</f>
        <v>7.9960145623763073E-4</v>
      </c>
      <c r="O71" s="653">
        <f>(O70*(T53-1))/(SQRT(T53)*SQRT(T53-2+O70^2))</f>
        <v>1.5804725904328889</v>
      </c>
      <c r="P71" s="654" t="s">
        <v>546</v>
      </c>
      <c r="Q71" s="655"/>
      <c r="R71" s="655"/>
      <c r="S71" s="655"/>
      <c r="T71" s="656"/>
      <c r="U71" s="325"/>
      <c r="V71" s="667" t="str">
        <f t="shared" si="0"/>
        <v/>
      </c>
      <c r="W71" s="668" t="str">
        <f t="shared" si="1"/>
        <v/>
      </c>
      <c r="X71" s="669">
        <f t="shared" si="10"/>
        <v>15.998606700156424</v>
      </c>
      <c r="AD71" s="713"/>
      <c r="AE71" s="714" t="s">
        <v>205</v>
      </c>
      <c r="AF71" s="714"/>
      <c r="AG71" s="715">
        <v>5.920621E-3</v>
      </c>
      <c r="AK71" s="258"/>
      <c r="AL71" s="540" t="s">
        <v>493</v>
      </c>
      <c r="AM71" s="573">
        <v>8.5000000000000006E-2</v>
      </c>
      <c r="AN71" s="542" t="s">
        <v>494</v>
      </c>
      <c r="AO71" s="257"/>
      <c r="AP71" s="259"/>
      <c r="BJ71" s="437"/>
      <c r="BK71" s="364" t="str">
        <f t="shared" si="11"/>
        <v/>
      </c>
      <c r="BL71" s="382" t="str">
        <f t="shared" si="2"/>
        <v/>
      </c>
      <c r="BM71" s="383" t="str">
        <f t="shared" si="3"/>
        <v/>
      </c>
      <c r="BN71" s="475"/>
      <c r="BO71" s="384" t="str">
        <f t="shared" si="4"/>
        <v/>
      </c>
      <c r="BP71" s="385" t="str">
        <f t="shared" si="5"/>
        <v/>
      </c>
      <c r="BQ71" s="469"/>
      <c r="BR71" s="384" t="str">
        <f t="shared" si="6"/>
        <v/>
      </c>
      <c r="BS71" s="385" t="str">
        <f t="shared" si="7"/>
        <v/>
      </c>
      <c r="BT71" s="386"/>
      <c r="BU71" s="329"/>
      <c r="BV71" s="371">
        <f>IF('Raw Data Input'!AT$56="off",'Data Reduction Engine'!W$77,'Data Reduction Engine'!W$90)</f>
        <v>4.4510644075914894E-2</v>
      </c>
      <c r="BW71" s="388">
        <f>'Data Reduction Engine'!W78</f>
        <v>15.54177701455327</v>
      </c>
      <c r="BX71" s="387">
        <f>'Data Reduction Engine'!W69</f>
        <v>2.694707837045324E-2</v>
      </c>
      <c r="BY71" s="388">
        <f>'Data Reduction Engine'!W70</f>
        <v>15.831564140056829</v>
      </c>
      <c r="BZ71" s="371">
        <f>IF('Raw Data Input'!AT$56="off",'Data Reduction Engine'!W$71,'Data Reduction Engine'!W$84)</f>
        <v>4.3908290822692641E-3</v>
      </c>
      <c r="CA71" s="388">
        <f>'Data Reduction Engine'!W85</f>
        <v>0.67493144274382122</v>
      </c>
      <c r="CB71" s="373" t="str">
        <f t="shared" si="12"/>
        <v/>
      </c>
      <c r="CC71" s="373"/>
      <c r="CD71" s="374" t="str">
        <f t="shared" si="13"/>
        <v/>
      </c>
      <c r="CE71" s="375" t="str">
        <f t="shared" si="14"/>
        <v/>
      </c>
      <c r="CF71" s="375" t="str">
        <f t="shared" si="15"/>
        <v/>
      </c>
      <c r="CG71" s="374" t="str">
        <f t="shared" si="16"/>
        <v/>
      </c>
      <c r="CH71" s="375" t="str">
        <f t="shared" si="17"/>
        <v/>
      </c>
      <c r="CI71" s="375" t="str">
        <f t="shared" si="18"/>
        <v/>
      </c>
      <c r="CJ71" s="374" t="str">
        <f t="shared" si="19"/>
        <v/>
      </c>
      <c r="CK71" s="375" t="str">
        <f t="shared" si="20"/>
        <v/>
      </c>
      <c r="CL71" s="375" t="str">
        <f t="shared" si="21"/>
        <v/>
      </c>
      <c r="CM71" s="376"/>
      <c r="CN71" s="377" t="str">
        <f t="shared" si="22"/>
        <v/>
      </c>
      <c r="CO71" s="377" t="str">
        <f t="shared" si="23"/>
        <v/>
      </c>
      <c r="CP71" s="377" t="str">
        <f t="shared" si="8"/>
        <v/>
      </c>
      <c r="CS71" s="450" t="s">
        <v>384</v>
      </c>
      <c r="CT71" s="444">
        <f>CT69-CT70</f>
        <v>1.9012448143704006E-11</v>
      </c>
      <c r="CU71" s="448" t="s">
        <v>110</v>
      </c>
      <c r="CV71" s="449">
        <f>CZ69*CX72*EXP(CZ71*CX72)</f>
        <v>-358390.95154353062</v>
      </c>
      <c r="CW71" s="451" t="s">
        <v>117</v>
      </c>
      <c r="CX71" s="444">
        <f>DB71*CZ71/200</f>
        <v>8.3767499999999989E-14</v>
      </c>
      <c r="CY71" s="455" t="s">
        <v>118</v>
      </c>
      <c r="CZ71" s="456">
        <f>AT65</f>
        <v>1.5512499999999999E-10</v>
      </c>
      <c r="DA71" s="457" t="s">
        <v>116</v>
      </c>
      <c r="DB71" s="458">
        <f>CA86</f>
        <v>0.108</v>
      </c>
      <c r="DC71" s="442"/>
      <c r="DD71" s="442"/>
      <c r="DE71" s="442"/>
      <c r="DF71" s="442"/>
      <c r="DG71" s="442"/>
      <c r="DH71" s="442"/>
      <c r="DI71" s="442"/>
      <c r="DJ71" s="442"/>
      <c r="DK71" s="442"/>
      <c r="DL71" s="442"/>
      <c r="DM71" s="442"/>
      <c r="DN71" s="442"/>
      <c r="DO71" s="442"/>
      <c r="DP71" s="442"/>
      <c r="DQ71" s="442"/>
      <c r="DR71" s="442"/>
      <c r="DS71" s="442"/>
      <c r="DT71" s="442"/>
      <c r="DU71" s="442"/>
      <c r="DV71" s="419"/>
      <c r="DW71" s="419"/>
      <c r="DX71" s="419"/>
      <c r="DY71" s="419"/>
      <c r="DZ71" s="419"/>
      <c r="EA71" s="419"/>
      <c r="EB71" s="419"/>
      <c r="EC71" s="419"/>
      <c r="ED71" s="442"/>
      <c r="EE71" s="442"/>
      <c r="EF71" s="442"/>
      <c r="EG71" s="442"/>
      <c r="EH71" s="442"/>
      <c r="EI71" s="442"/>
      <c r="EJ71" s="442"/>
      <c r="EK71" s="442"/>
      <c r="EL71" s="442"/>
      <c r="EM71" s="442"/>
      <c r="EN71" s="442"/>
      <c r="EO71" s="442"/>
      <c r="EP71" s="442"/>
      <c r="EQ71" s="442"/>
      <c r="ER71" s="442"/>
      <c r="ES71" s="442"/>
      <c r="ET71" s="442"/>
      <c r="EU71" s="442"/>
      <c r="EV71" s="442"/>
      <c r="EW71" s="442"/>
      <c r="EX71" s="442"/>
      <c r="EY71" s="442"/>
      <c r="EZ71" s="442"/>
      <c r="FA71" s="442"/>
      <c r="FB71" s="442"/>
      <c r="FC71" s="442"/>
    </row>
    <row r="72" spans="1:159" ht="14" customHeight="1" x14ac:dyDescent="0.15">
      <c r="A72" s="270" t="str">
        <f>Z4</f>
        <v>z12a</v>
      </c>
      <c r="B72" s="286">
        <f>IF('Raw Data Input'!Z$39&lt;&gt;"",IF('Raw Data Input'!AT$56="off",'Data Reduction Engine'!X$34,'Data Reduction Engine'!X$44),'Data Reduction Engine'!X$34)</f>
        <v>34.593939781188965</v>
      </c>
      <c r="C72" s="318">
        <f>'Data Reduction Engine'!X45</f>
        <v>42.608762855975201</v>
      </c>
      <c r="D72" s="255">
        <f>'Data Reduction Engine'!X46</f>
        <v>28.650236865939721</v>
      </c>
      <c r="E72" s="288">
        <f>'Data Reduction Engine'!X47</f>
        <v>0.53715366937155329</v>
      </c>
      <c r="F72" s="255">
        <f>IF('Raw Data Input'!AT$56="off",'Data Reduction Engine'!X$38,'Data Reduction Engine'!X$48)</f>
        <v>28.57941558650521</v>
      </c>
      <c r="G72" s="288">
        <f>'Data Reduction Engine'!X49</f>
        <v>4.7526218391108897E-2</v>
      </c>
      <c r="H72" s="256">
        <f>'Data Reduction Engine'!X213</f>
        <v>0.43137192874106972</v>
      </c>
      <c r="I72" s="302">
        <f>'Data Reduction Engine'!X59</f>
        <v>1.7953927827290759</v>
      </c>
      <c r="J72" s="286">
        <f t="shared" si="31"/>
        <v>4.1620528901099574</v>
      </c>
      <c r="K72" s="503">
        <f>'Data Reduction Engine'!X55</f>
        <v>0.60017700651084716</v>
      </c>
      <c r="L72" s="315">
        <f>'Data Reduction Engine'!X222</f>
        <v>9.0106905920532088E-4</v>
      </c>
      <c r="M72" s="313">
        <f>'Data Reduction Engine'!X224</f>
        <v>8.6458747787079805E-4</v>
      </c>
      <c r="O72" s="657">
        <f>ABS(NORMSINV(1/(4*T53)))</f>
        <v>1.7316643961222451</v>
      </c>
      <c r="P72" s="658" t="s">
        <v>545</v>
      </c>
      <c r="Q72" s="659"/>
      <c r="R72" s="659"/>
      <c r="S72" s="659"/>
      <c r="T72" s="660"/>
      <c r="U72" s="325"/>
      <c r="V72" s="667" t="str">
        <f t="shared" si="0"/>
        <v/>
      </c>
      <c r="W72" s="668" t="str">
        <f t="shared" si="1"/>
        <v/>
      </c>
      <c r="X72" s="669">
        <f t="shared" si="10"/>
        <v>15.910331226472008</v>
      </c>
      <c r="AD72" s="710" t="s">
        <v>729</v>
      </c>
      <c r="AE72" s="716" t="s">
        <v>204</v>
      </c>
      <c r="AF72" s="716"/>
      <c r="AG72" s="717">
        <v>0.98798026000000005</v>
      </c>
      <c r="AK72" s="258"/>
      <c r="AL72" s="540" t="s">
        <v>187</v>
      </c>
      <c r="AM72" s="574">
        <f>11.152+9.735*(EXP('Data Reduction Engine'!C$242*3700000000)-EXP('Data Reduction Engine'!C$242*AM$71*1000000000))</f>
        <v>18.570213799829535</v>
      </c>
      <c r="AN72" s="567">
        <v>0.6071393779268438</v>
      </c>
      <c r="AO72" s="542" t="s">
        <v>537</v>
      </c>
      <c r="AP72" s="259"/>
      <c r="BJ72" s="440"/>
      <c r="BK72" s="364" t="str">
        <f t="shared" si="11"/>
        <v/>
      </c>
      <c r="BL72" s="382" t="str">
        <f t="shared" si="2"/>
        <v/>
      </c>
      <c r="BM72" s="383" t="str">
        <f t="shared" si="3"/>
        <v/>
      </c>
      <c r="BN72" s="475"/>
      <c r="BO72" s="384" t="str">
        <f t="shared" si="4"/>
        <v/>
      </c>
      <c r="BP72" s="385" t="str">
        <f t="shared" si="5"/>
        <v/>
      </c>
      <c r="BQ72" s="469"/>
      <c r="BR72" s="384" t="str">
        <f t="shared" si="6"/>
        <v/>
      </c>
      <c r="BS72" s="385" t="str">
        <f t="shared" si="7"/>
        <v/>
      </c>
      <c r="BT72" s="386"/>
      <c r="BU72" s="329"/>
      <c r="BV72" s="371">
        <f>IF('Raw Data Input'!AT$56="off",'Data Reduction Engine'!X$77,'Data Reduction Engine'!X$90)</f>
        <v>4.6713274821727435E-2</v>
      </c>
      <c r="BW72" s="388">
        <f>'Data Reduction Engine'!X78</f>
        <v>1.7817424357212488</v>
      </c>
      <c r="BX72" s="387">
        <f>'Data Reduction Engine'!X69</f>
        <v>2.8618032975389302E-2</v>
      </c>
      <c r="BY72" s="388">
        <f>'Data Reduction Engine'!X70</f>
        <v>1.9014415949129047</v>
      </c>
      <c r="BZ72" s="371">
        <f>IF('Raw Data Input'!AT$56="off",'Data Reduction Engine'!X$71,'Data Reduction Engine'!X$84)</f>
        <v>4.4432238191768917E-3</v>
      </c>
      <c r="CA72" s="388">
        <f>'Data Reduction Engine'!X85</f>
        <v>0.166664174875223</v>
      </c>
      <c r="CB72" s="373" t="str">
        <f t="shared" si="12"/>
        <v/>
      </c>
      <c r="CC72" s="373"/>
      <c r="CD72" s="374" t="str">
        <f t="shared" si="13"/>
        <v/>
      </c>
      <c r="CE72" s="375" t="str">
        <f t="shared" si="14"/>
        <v/>
      </c>
      <c r="CF72" s="375" t="str">
        <f t="shared" si="15"/>
        <v/>
      </c>
      <c r="CG72" s="374" t="str">
        <f t="shared" si="16"/>
        <v/>
      </c>
      <c r="CH72" s="375" t="str">
        <f t="shared" si="17"/>
        <v/>
      </c>
      <c r="CI72" s="375" t="str">
        <f t="shared" si="18"/>
        <v/>
      </c>
      <c r="CJ72" s="374" t="str">
        <f t="shared" si="19"/>
        <v/>
      </c>
      <c r="CK72" s="375" t="str">
        <f t="shared" si="20"/>
        <v/>
      </c>
      <c r="CL72" s="375" t="str">
        <f t="shared" si="21"/>
        <v/>
      </c>
      <c r="CM72" s="376"/>
      <c r="CN72" s="377" t="str">
        <f t="shared" si="22"/>
        <v/>
      </c>
      <c r="CO72" s="377" t="str">
        <f t="shared" si="23"/>
        <v/>
      </c>
      <c r="CP72" s="377" t="str">
        <f t="shared" si="8"/>
        <v/>
      </c>
      <c r="CS72" s="451" t="s">
        <v>119</v>
      </c>
      <c r="CT72" s="459">
        <f>SQRT((DB69*CZ69/200)^2/CT71^2)</f>
        <v>179765596.89801711</v>
      </c>
      <c r="CU72" s="451" t="s">
        <v>120</v>
      </c>
      <c r="CV72" s="459">
        <f>SQRT(((CV69*CX69)^2+(CV70*CX70)^2+(CV71*CX71)^2)/(((1/$AT$68)*CZ70*EXP(CZ70*CX72)-CZ69*CZ71*EXP(CZ71*CX72))^2))</f>
        <v>179775285.70126823</v>
      </c>
      <c r="CW72" s="460" t="s">
        <v>111</v>
      </c>
      <c r="CX72" s="459">
        <f>EC62</f>
        <v>-7818154.9906730652</v>
      </c>
      <c r="CY72" s="442"/>
      <c r="CZ72" s="444"/>
      <c r="DA72" s="456"/>
      <c r="DB72" s="456"/>
      <c r="DC72" s="442"/>
      <c r="DD72" s="442"/>
      <c r="DE72" s="442"/>
      <c r="DF72" s="442"/>
      <c r="DG72" s="442"/>
      <c r="DH72" s="442"/>
      <c r="DI72" s="442"/>
      <c r="DJ72" s="442"/>
      <c r="DK72" s="442"/>
      <c r="DL72" s="442"/>
      <c r="DM72" s="442"/>
      <c r="DN72" s="442"/>
      <c r="DO72" s="442"/>
      <c r="DP72" s="442"/>
      <c r="DQ72" s="442"/>
      <c r="DR72" s="442"/>
      <c r="DS72" s="442"/>
      <c r="DT72" s="442"/>
      <c r="DU72" s="442"/>
      <c r="DV72" s="419"/>
      <c r="DW72" s="419"/>
      <c r="DX72" s="419"/>
      <c r="DY72" s="419"/>
      <c r="DZ72" s="419"/>
      <c r="EA72" s="419"/>
      <c r="EB72" s="419"/>
      <c r="EC72" s="419"/>
      <c r="ED72" s="442"/>
      <c r="EE72" s="442"/>
      <c r="EF72" s="442"/>
      <c r="EG72" s="442"/>
      <c r="EH72" s="442"/>
      <c r="EI72" s="442"/>
      <c r="EJ72" s="442"/>
      <c r="EK72" s="442"/>
      <c r="EL72" s="442"/>
      <c r="EM72" s="442"/>
      <c r="EN72" s="442"/>
      <c r="EO72" s="442"/>
      <c r="EP72" s="442"/>
      <c r="EQ72" s="442"/>
      <c r="ER72" s="442"/>
      <c r="ES72" s="442"/>
      <c r="ET72" s="442"/>
      <c r="EU72" s="442"/>
      <c r="EV72" s="442"/>
      <c r="EW72" s="442"/>
      <c r="EX72" s="442"/>
      <c r="EY72" s="442"/>
      <c r="EZ72" s="442"/>
      <c r="FA72" s="442"/>
      <c r="FB72" s="442"/>
      <c r="FC72" s="442"/>
    </row>
    <row r="73" spans="1:159" ht="14" customHeight="1" x14ac:dyDescent="0.15">
      <c r="A73" s="270" t="str">
        <f>AA4</f>
        <v>z12b</v>
      </c>
      <c r="B73" s="286">
        <f>IF('Raw Data Input'!AA$39&lt;&gt;"",IF('Raw Data Input'!AT$56="off",'Data Reduction Engine'!Y$34,'Data Reduction Engine'!Y$44),'Data Reduction Engine'!Y$34)</f>
        <v>37.336945533752441</v>
      </c>
      <c r="C73" s="318">
        <f>'Data Reduction Engine'!Y45</f>
        <v>78.462108311185574</v>
      </c>
      <c r="D73" s="255">
        <f>'Data Reduction Engine'!Y46</f>
        <v>28.544093457970746</v>
      </c>
      <c r="E73" s="288">
        <f>'Data Reduction Engine'!Y47</f>
        <v>0.98443502515509373</v>
      </c>
      <c r="F73" s="255">
        <f>IF('Raw Data Input'!AT$56="off",'Data Reduction Engine'!Y$38,'Data Reduction Engine'!Y$48)</f>
        <v>28.439722898217472</v>
      </c>
      <c r="G73" s="288">
        <f>'Data Reduction Engine'!Y49</f>
        <v>7.9797689056863116E-2</v>
      </c>
      <c r="H73" s="256">
        <f>'Data Reduction Engine'!Y213</f>
        <v>0.56333433580267833</v>
      </c>
      <c r="I73" s="302">
        <f>'Data Reduction Engine'!Y59</f>
        <v>1.1988776640029206</v>
      </c>
      <c r="J73" s="286">
        <f t="shared" si="31"/>
        <v>2.1281814152064342</v>
      </c>
      <c r="K73" s="503">
        <f>'Data Reduction Engine'!Y55</f>
        <v>0.66690411846245112</v>
      </c>
      <c r="L73" s="315">
        <f>'Data Reduction Engine'!Y222</f>
        <v>1.4413988364823844E-3</v>
      </c>
      <c r="M73" s="313">
        <f>'Data Reduction Engine'!Y224</f>
        <v>7.5336925828359432E-4</v>
      </c>
      <c r="O73" s="627" t="s">
        <v>362</v>
      </c>
      <c r="P73" s="661"/>
      <c r="Q73" s="661"/>
      <c r="R73" s="661"/>
      <c r="S73" s="661"/>
      <c r="T73" s="662"/>
      <c r="V73" s="667" t="str">
        <f t="shared" si="0"/>
        <v/>
      </c>
      <c r="W73" s="668" t="str">
        <f t="shared" si="1"/>
        <v/>
      </c>
      <c r="X73" s="669">
        <f t="shared" si="10"/>
        <v>15.94700215682713</v>
      </c>
      <c r="AD73" s="713"/>
      <c r="AE73" s="714" t="s">
        <v>205</v>
      </c>
      <c r="AF73" s="714"/>
      <c r="AG73" s="715">
        <v>4.7212583000000004E-3</v>
      </c>
      <c r="AK73" s="258"/>
      <c r="AL73" s="540" t="s">
        <v>190</v>
      </c>
      <c r="AM73" s="574">
        <f>12.998+0.0706411*(EXP('Data Reduction Engine'!C$241*3700000000)-EXP('Data Reduction Engine'!C$241*AM$71*1000000000))</f>
        <v>15.622676417598086</v>
      </c>
      <c r="AN73" s="570">
        <v>0.51783738073210117</v>
      </c>
      <c r="AO73" s="542" t="s">
        <v>537</v>
      </c>
      <c r="AP73" s="259"/>
      <c r="BJ73" s="440"/>
      <c r="BK73" s="364" t="str">
        <f t="shared" si="11"/>
        <v/>
      </c>
      <c r="BL73" s="382" t="str">
        <f t="shared" si="2"/>
        <v/>
      </c>
      <c r="BM73" s="383" t="str">
        <f t="shared" si="3"/>
        <v/>
      </c>
      <c r="BN73" s="475"/>
      <c r="BO73" s="384" t="str">
        <f t="shared" si="4"/>
        <v/>
      </c>
      <c r="BP73" s="385" t="str">
        <f t="shared" si="5"/>
        <v/>
      </c>
      <c r="BQ73" s="469"/>
      <c r="BR73" s="384" t="str">
        <f t="shared" si="6"/>
        <v/>
      </c>
      <c r="BS73" s="385" t="str">
        <f t="shared" si="7"/>
        <v/>
      </c>
      <c r="BT73" s="386"/>
      <c r="BU73" s="329"/>
      <c r="BV73" s="371">
        <f>IF('Raw Data Input'!AT$56="off",'Data Reduction Engine'!Y$77,'Data Reduction Engine'!Y$90)</f>
        <v>4.6766862875361338E-2</v>
      </c>
      <c r="BW73" s="388">
        <f>'Data Reduction Engine'!Y78</f>
        <v>3.2827118481658877</v>
      </c>
      <c r="BX73" s="387">
        <f>'Data Reduction Engine'!Y69</f>
        <v>2.8510511664363448E-2</v>
      </c>
      <c r="BY73" s="388">
        <f>'Data Reduction Engine'!Y70</f>
        <v>3.4975253384593978</v>
      </c>
      <c r="BZ73" s="371">
        <f>IF('Raw Data Input'!AT$56="off",'Data Reduction Engine'!Y$71,'Data Reduction Engine'!Y$84)</f>
        <v>4.4214579428414674E-3</v>
      </c>
      <c r="CA73" s="388">
        <f>'Data Reduction Engine'!Y85</f>
        <v>0.28120471138682701</v>
      </c>
      <c r="CB73" s="373" t="str">
        <f t="shared" si="12"/>
        <v/>
      </c>
      <c r="CC73" s="373"/>
      <c r="CD73" s="374" t="str">
        <f t="shared" si="13"/>
        <v/>
      </c>
      <c r="CE73" s="375" t="str">
        <f t="shared" si="14"/>
        <v/>
      </c>
      <c r="CF73" s="375" t="str">
        <f t="shared" si="15"/>
        <v/>
      </c>
      <c r="CG73" s="374" t="str">
        <f t="shared" si="16"/>
        <v/>
      </c>
      <c r="CH73" s="375" t="str">
        <f t="shared" si="17"/>
        <v/>
      </c>
      <c r="CI73" s="375" t="str">
        <f t="shared" si="18"/>
        <v/>
      </c>
      <c r="CJ73" s="374" t="str">
        <f t="shared" si="19"/>
        <v/>
      </c>
      <c r="CK73" s="375" t="str">
        <f t="shared" si="20"/>
        <v/>
      </c>
      <c r="CL73" s="375" t="str">
        <f t="shared" si="21"/>
        <v/>
      </c>
      <c r="CM73" s="376"/>
      <c r="CN73" s="377" t="str">
        <f t="shared" si="22"/>
        <v/>
      </c>
      <c r="CO73" s="377" t="str">
        <f t="shared" si="23"/>
        <v/>
      </c>
      <c r="CP73" s="377" t="str">
        <f t="shared" si="8"/>
        <v/>
      </c>
      <c r="CS73" s="442"/>
      <c r="CT73" s="442"/>
      <c r="CU73" s="442"/>
      <c r="CV73" s="442"/>
      <c r="CW73" s="442"/>
      <c r="CX73" s="442"/>
      <c r="CY73" s="442"/>
      <c r="CZ73" s="442"/>
      <c r="DA73" s="442"/>
      <c r="DB73" s="442"/>
      <c r="DC73" s="442"/>
      <c r="DD73" s="442"/>
      <c r="DE73" s="442"/>
      <c r="DF73" s="442"/>
      <c r="DG73" s="442"/>
      <c r="DH73" s="442"/>
      <c r="DI73" s="442"/>
      <c r="DJ73" s="442"/>
      <c r="DK73" s="442"/>
      <c r="DL73" s="442"/>
      <c r="DM73" s="442"/>
      <c r="DN73" s="442"/>
      <c r="DO73" s="442"/>
      <c r="DP73" s="442"/>
      <c r="DQ73" s="442"/>
      <c r="DR73" s="442"/>
      <c r="DS73" s="442"/>
      <c r="DT73" s="442"/>
      <c r="DU73" s="442"/>
      <c r="DV73" s="419"/>
      <c r="DW73" s="419"/>
      <c r="DX73" s="419"/>
      <c r="DY73" s="419"/>
      <c r="DZ73" s="419"/>
      <c r="EA73" s="419"/>
      <c r="EB73" s="419"/>
      <c r="EC73" s="419"/>
      <c r="ED73" s="442"/>
      <c r="EE73" s="442"/>
      <c r="EF73" s="442"/>
      <c r="EG73" s="442"/>
      <c r="EH73" s="442"/>
      <c r="EI73" s="442"/>
      <c r="EJ73" s="442"/>
      <c r="EK73" s="442"/>
      <c r="EL73" s="442"/>
      <c r="EM73" s="442"/>
      <c r="EN73" s="442"/>
      <c r="EO73" s="442"/>
      <c r="EP73" s="442"/>
      <c r="EQ73" s="442"/>
      <c r="ER73" s="442"/>
      <c r="ES73" s="442"/>
      <c r="ET73" s="442"/>
      <c r="EU73" s="442"/>
      <c r="EV73" s="442"/>
      <c r="EW73" s="442"/>
      <c r="EX73" s="442"/>
      <c r="EY73" s="442"/>
      <c r="EZ73" s="442"/>
      <c r="FA73" s="442"/>
      <c r="FB73" s="442"/>
      <c r="FC73" s="442"/>
    </row>
    <row r="74" spans="1:159" ht="14" customHeight="1" x14ac:dyDescent="0.15">
      <c r="A74" s="270" t="str">
        <f>AB4</f>
        <v>z13</v>
      </c>
      <c r="B74" s="286">
        <f>IF('Raw Data Input'!AB$39&lt;&gt;"",IF('Raw Data Input'!AT$56="off",'Data Reduction Engine'!Z$34,'Data Reduction Engine'!Z$44),'Data Reduction Engine'!Z$34)</f>
        <v>-7.7527761459350586</v>
      </c>
      <c r="C74" s="318">
        <f>'Data Reduction Engine'!Z45</f>
        <v>99.730987918245987</v>
      </c>
      <c r="D74" s="255">
        <f>'Data Reduction Engine'!Z46</f>
        <v>27.950782205593807</v>
      </c>
      <c r="E74" s="288">
        <f>'Data Reduction Engine'!Z47</f>
        <v>1.2004829749152219</v>
      </c>
      <c r="F74" s="255">
        <f>IF('Raw Data Input'!AT$56="off",'Data Reduction Engine'!Z$38,'Data Reduction Engine'!Z$48)</f>
        <v>28.367778518811708</v>
      </c>
      <c r="G74" s="288">
        <f>'Data Reduction Engine'!Z49</f>
        <v>8.9235755150173054E-2</v>
      </c>
      <c r="H74" s="256">
        <f>'Data Reduction Engine'!Z213</f>
        <v>0.5111954604225678</v>
      </c>
      <c r="I74" s="302">
        <f>'Data Reduction Engine'!Z59</f>
        <v>1.006588417424491</v>
      </c>
      <c r="J74" s="286">
        <f t="shared" si="31"/>
        <v>1.9690871601097908</v>
      </c>
      <c r="K74" s="503">
        <f>'Data Reduction Engine'!Z55</f>
        <v>0.46194853657262552</v>
      </c>
      <c r="L74" s="315">
        <f>'Data Reduction Engine'!Z222</f>
        <v>1.4938409003241171E-3</v>
      </c>
      <c r="M74" s="313">
        <f>'Data Reduction Engine'!Z224</f>
        <v>8.172116980750075E-4</v>
      </c>
      <c r="O74" s="649">
        <f>TINV(0.05,T57)</f>
        <v>2.4469118511449697</v>
      </c>
      <c r="P74" s="650" t="s">
        <v>544</v>
      </c>
      <c r="Q74" s="651"/>
      <c r="R74" s="651"/>
      <c r="S74" s="651"/>
      <c r="T74" s="652"/>
      <c r="V74" s="667" t="str">
        <f t="shared" si="0"/>
        <v/>
      </c>
      <c r="W74" s="668" t="str">
        <f t="shared" si="1"/>
        <v/>
      </c>
      <c r="X74" s="669">
        <f t="shared" si="10"/>
        <v>15.965888380286421</v>
      </c>
      <c r="AD74" s="718"/>
      <c r="AE74" s="719"/>
      <c r="AF74" s="719"/>
      <c r="AG74" s="720"/>
      <c r="AK74" s="258"/>
      <c r="AL74" s="549" t="s">
        <v>488</v>
      </c>
      <c r="AM74" s="747">
        <v>38.474736417667913</v>
      </c>
      <c r="AN74" s="744">
        <v>0.62966123209870861</v>
      </c>
      <c r="AO74" s="542" t="s">
        <v>732</v>
      </c>
      <c r="AP74" s="259"/>
      <c r="BJ74" s="440"/>
      <c r="BK74" s="364" t="str">
        <f t="shared" si="11"/>
        <v/>
      </c>
      <c r="BL74" s="378" t="str">
        <f t="shared" si="2"/>
        <v/>
      </c>
      <c r="BM74" s="379" t="str">
        <f t="shared" si="3"/>
        <v/>
      </c>
      <c r="BN74" s="474"/>
      <c r="BO74" s="380" t="str">
        <f t="shared" si="4"/>
        <v/>
      </c>
      <c r="BP74" s="381" t="str">
        <f t="shared" si="5"/>
        <v/>
      </c>
      <c r="BQ74" s="468"/>
      <c r="BR74" s="380" t="str">
        <f t="shared" si="6"/>
        <v/>
      </c>
      <c r="BS74" s="381" t="str">
        <f t="shared" si="7"/>
        <v/>
      </c>
      <c r="BT74" s="369"/>
      <c r="BU74" s="370"/>
      <c r="BV74" s="371">
        <f>IF('Raw Data Input'!AT$56="off",'Data Reduction Engine'!Z$77,'Data Reduction Engine'!Z$90)</f>
        <v>4.5897701357723038E-2</v>
      </c>
      <c r="BW74" s="372">
        <f>'Data Reduction Engine'!Z78</f>
        <v>4.137181494509643</v>
      </c>
      <c r="BX74" s="371">
        <f>'Data Reduction Engine'!Z69</f>
        <v>2.7909705290992012E-2</v>
      </c>
      <c r="BY74" s="372">
        <f>'Data Reduction Engine'!Z70</f>
        <v>4.3543748260744932</v>
      </c>
      <c r="BZ74" s="371">
        <f>IF('Raw Data Input'!AT$56="off",'Data Reduction Engine'!Z$71,'Data Reduction Engine'!Z$84)</f>
        <v>4.4102482884234486E-3</v>
      </c>
      <c r="CA74" s="372">
        <f>'Data Reduction Engine'!Z85</f>
        <v>0.31525994313723893</v>
      </c>
      <c r="CB74" s="373" t="str">
        <f t="shared" si="12"/>
        <v/>
      </c>
      <c r="CC74" s="373"/>
      <c r="CD74" s="374" t="str">
        <f t="shared" si="13"/>
        <v/>
      </c>
      <c r="CE74" s="375" t="str">
        <f t="shared" si="14"/>
        <v/>
      </c>
      <c r="CF74" s="375" t="str">
        <f t="shared" si="15"/>
        <v/>
      </c>
      <c r="CG74" s="374" t="str">
        <f t="shared" si="16"/>
        <v/>
      </c>
      <c r="CH74" s="375" t="str">
        <f t="shared" si="17"/>
        <v/>
      </c>
      <c r="CI74" s="375" t="str">
        <f t="shared" si="18"/>
        <v/>
      </c>
      <c r="CJ74" s="374" t="str">
        <f t="shared" si="19"/>
        <v/>
      </c>
      <c r="CK74" s="375" t="str">
        <f t="shared" si="20"/>
        <v/>
      </c>
      <c r="CL74" s="375" t="str">
        <f t="shared" si="21"/>
        <v/>
      </c>
      <c r="CM74" s="376"/>
      <c r="CN74" s="377" t="str">
        <f t="shared" si="22"/>
        <v/>
      </c>
      <c r="CO74" s="377" t="str">
        <f t="shared" si="23"/>
        <v/>
      </c>
      <c r="CP74" s="377" t="str">
        <f t="shared" si="8"/>
        <v/>
      </c>
      <c r="CS74" s="463" t="s">
        <v>124</v>
      </c>
      <c r="CT74" s="442"/>
      <c r="CU74" s="442"/>
      <c r="CV74" s="442"/>
      <c r="CW74" s="442"/>
      <c r="CX74" s="442"/>
      <c r="CY74" s="442"/>
      <c r="CZ74" s="442"/>
      <c r="DA74" s="442"/>
      <c r="DB74" s="442"/>
      <c r="DC74" s="442"/>
      <c r="DD74" s="442"/>
      <c r="DE74" s="442"/>
      <c r="DF74" s="442"/>
      <c r="DG74" s="442"/>
      <c r="DH74" s="442"/>
      <c r="DI74" s="442"/>
      <c r="DJ74" s="442"/>
      <c r="DK74" s="442"/>
      <c r="DL74" s="442"/>
      <c r="DM74" s="442"/>
      <c r="DN74" s="442"/>
      <c r="DO74" s="442"/>
      <c r="DP74" s="442"/>
      <c r="DQ74" s="442"/>
      <c r="DR74" s="442"/>
      <c r="DS74" s="442"/>
      <c r="DT74" s="442"/>
      <c r="DU74" s="442"/>
      <c r="DV74" s="419"/>
      <c r="DW74" s="419"/>
      <c r="DX74" s="419"/>
      <c r="DY74" s="419"/>
      <c r="DZ74" s="419"/>
      <c r="EA74" s="419"/>
      <c r="EB74" s="419"/>
      <c r="EC74" s="419"/>
      <c r="ED74" s="442"/>
      <c r="EE74" s="442"/>
      <c r="EF74" s="442"/>
      <c r="EG74" s="442"/>
      <c r="EH74" s="442"/>
      <c r="EI74" s="442"/>
      <c r="EJ74" s="442"/>
      <c r="EK74" s="442"/>
      <c r="EL74" s="442"/>
      <c r="EM74" s="442"/>
      <c r="EN74" s="442"/>
      <c r="EO74" s="442"/>
      <c r="EP74" s="442"/>
      <c r="EQ74" s="442"/>
      <c r="ER74" s="442"/>
      <c r="ES74" s="442"/>
      <c r="ET74" s="442"/>
      <c r="EU74" s="442"/>
      <c r="EV74" s="442"/>
      <c r="EW74" s="442"/>
      <c r="EX74" s="442"/>
      <c r="EY74" s="442"/>
      <c r="EZ74" s="442"/>
      <c r="FA74" s="442"/>
      <c r="FB74" s="442"/>
      <c r="FC74" s="442"/>
    </row>
    <row r="75" spans="1:159" ht="14" customHeight="1" thickBot="1" x14ac:dyDescent="0.25">
      <c r="A75" s="270" t="str">
        <f>AC4</f>
        <v>z1</v>
      </c>
      <c r="B75" s="286">
        <f>IF('Raw Data Input'!AC$39&lt;&gt;"",IF('Raw Data Input'!AT$56="off",'Data Reduction Engine'!AA$34,'Data Reduction Engine'!AA$44),'Data Reduction Engine'!AA$34)</f>
        <v>2581.8651914596558</v>
      </c>
      <c r="C75" s="318">
        <f>'Data Reduction Engine'!AA45</f>
        <v>0.67139293937096478</v>
      </c>
      <c r="D75" s="255">
        <f>'Data Reduction Engine'!AA46</f>
        <v>2577.7772393982664</v>
      </c>
      <c r="E75" s="288">
        <f>'Data Reduction Engine'!AA47</f>
        <v>0.84716444230561327</v>
      </c>
      <c r="F75" s="255">
        <f>IF('Raw Data Input'!AT$56="off",'Data Reduction Engine'!AA$38,'Data Reduction Engine'!AA$48)</f>
        <v>2572.5814813353231</v>
      </c>
      <c r="G75" s="288">
        <f>'Data Reduction Engine'!AA49</f>
        <v>1.2339447197435789</v>
      </c>
      <c r="H75" s="256">
        <f>'Data Reduction Engine'!AA213</f>
        <v>1.4145959942277735</v>
      </c>
      <c r="I75" s="302">
        <f>'Data Reduction Engine'!AA59</f>
        <v>1432.4203957348479</v>
      </c>
      <c r="J75" s="286">
        <f t="shared" si="31"/>
        <v>1012.600347788207</v>
      </c>
      <c r="K75" s="503">
        <f>'Data Reduction Engine'!AA55</f>
        <v>0.41203957520387996</v>
      </c>
      <c r="L75" s="315">
        <f>'Data Reduction Engine'!AA222</f>
        <v>1E-3</v>
      </c>
      <c r="M75" s="313">
        <f>'Data Reduction Engine'!AA224</f>
        <v>9.9715861099821117E-4</v>
      </c>
      <c r="O75" s="653">
        <f>(O74*(T57-1))/(SQRT(T57)*SQRT(T57-2+O74^2))</f>
        <v>1.5804725904328889</v>
      </c>
      <c r="P75" s="654" t="s">
        <v>546</v>
      </c>
      <c r="Q75" s="655"/>
      <c r="R75" s="655"/>
      <c r="S75" s="655"/>
      <c r="T75" s="656"/>
      <c r="V75" s="667" t="str">
        <f t="shared" si="0"/>
        <v/>
      </c>
      <c r="W75" s="668" t="str">
        <f t="shared" si="1"/>
        <v/>
      </c>
      <c r="X75" s="669">
        <f t="shared" si="10"/>
        <v>651.9193434677577</v>
      </c>
      <c r="AD75" s="735" t="s">
        <v>721</v>
      </c>
      <c r="AE75" s="736"/>
      <c r="AF75" s="736"/>
      <c r="AG75" s="737"/>
      <c r="AK75" s="260"/>
      <c r="AL75" s="748" t="s">
        <v>734</v>
      </c>
      <c r="AM75" s="749">
        <v>0.98</v>
      </c>
      <c r="AN75" s="750"/>
      <c r="AO75" s="264"/>
      <c r="AP75" s="265"/>
      <c r="BJ75" s="437"/>
      <c r="BK75" s="364" t="str">
        <f t="shared" si="11"/>
        <v/>
      </c>
      <c r="BL75" s="382" t="str">
        <f t="shared" si="2"/>
        <v/>
      </c>
      <c r="BM75" s="383" t="str">
        <f t="shared" si="3"/>
        <v/>
      </c>
      <c r="BN75" s="475"/>
      <c r="BO75" s="384" t="str">
        <f t="shared" si="4"/>
        <v/>
      </c>
      <c r="BP75" s="385" t="str">
        <f t="shared" si="5"/>
        <v/>
      </c>
      <c r="BQ75" s="469"/>
      <c r="BR75" s="384" t="str">
        <f t="shared" si="6"/>
        <v/>
      </c>
      <c r="BS75" s="385" t="str">
        <f t="shared" si="7"/>
        <v/>
      </c>
      <c r="BT75" s="386"/>
      <c r="BU75" s="329"/>
      <c r="BV75" s="371">
        <f>IF('Raw Data Input'!AT$56="off",'Data Reduction Engine'!AA$77,'Data Reduction Engine'!AA$90)</f>
        <v>0.17248103230713305</v>
      </c>
      <c r="BW75" s="388">
        <f>'Data Reduction Engine'!AA78</f>
        <v>4.0208375734530399E-2</v>
      </c>
      <c r="BX75" s="387">
        <f>'Data Reduction Engine'!AA69</f>
        <v>11.663500942396379</v>
      </c>
      <c r="BY75" s="388">
        <f>'Data Reduction Engine'!AA70</f>
        <v>9.0586330295022832E-2</v>
      </c>
      <c r="BZ75" s="371">
        <f>IF('Raw Data Input'!AT$56="off",'Data Reduction Engine'!AA$71,'Data Reduction Engine'!AA$84)</f>
        <v>0.49044048277507019</v>
      </c>
      <c r="CA75" s="388">
        <f>'Data Reduction Engine'!AA85</f>
        <v>5.8170905656504984E-2</v>
      </c>
      <c r="CB75" s="373" t="str">
        <f t="shared" si="12"/>
        <v/>
      </c>
      <c r="CC75" s="373"/>
      <c r="CD75" s="374" t="str">
        <f t="shared" si="13"/>
        <v/>
      </c>
      <c r="CE75" s="375" t="str">
        <f t="shared" si="14"/>
        <v/>
      </c>
      <c r="CF75" s="375" t="str">
        <f t="shared" si="15"/>
        <v/>
      </c>
      <c r="CG75" s="374" t="str">
        <f t="shared" si="16"/>
        <v/>
      </c>
      <c r="CH75" s="375" t="str">
        <f t="shared" si="17"/>
        <v/>
      </c>
      <c r="CI75" s="375" t="str">
        <f t="shared" si="18"/>
        <v/>
      </c>
      <c r="CJ75" s="374" t="str">
        <f t="shared" si="19"/>
        <v/>
      </c>
      <c r="CK75" s="375" t="str">
        <f t="shared" si="20"/>
        <v/>
      </c>
      <c r="CL75" s="375" t="str">
        <f t="shared" si="21"/>
        <v/>
      </c>
      <c r="CM75" s="376"/>
      <c r="CN75" s="377" t="str">
        <f t="shared" si="22"/>
        <v/>
      </c>
      <c r="CO75" s="377" t="str">
        <f t="shared" si="23"/>
        <v/>
      </c>
      <c r="CP75" s="377" t="str">
        <f t="shared" si="8"/>
        <v/>
      </c>
      <c r="CS75" s="444"/>
      <c r="CT75" s="445" t="s">
        <v>107</v>
      </c>
      <c r="CU75" s="445"/>
      <c r="CV75" s="445" t="s">
        <v>108</v>
      </c>
      <c r="CW75" s="445"/>
      <c r="CX75" s="445"/>
      <c r="CY75" s="446"/>
      <c r="CZ75" s="444"/>
      <c r="DA75" s="444"/>
      <c r="DB75" s="444"/>
      <c r="DC75" s="447"/>
      <c r="DD75" s="447"/>
      <c r="DE75" s="447"/>
      <c r="DF75" s="447"/>
      <c r="DG75" s="447"/>
      <c r="DH75" s="447"/>
      <c r="DI75" s="447"/>
      <c r="DJ75" s="447"/>
      <c r="DK75" s="447"/>
      <c r="DL75" s="447"/>
      <c r="DM75" s="447"/>
      <c r="DN75" s="447"/>
      <c r="DO75" s="447"/>
      <c r="DP75" s="447"/>
      <c r="DQ75" s="447"/>
      <c r="DR75" s="447"/>
      <c r="DS75" s="447"/>
      <c r="DT75" s="447"/>
      <c r="DU75" s="447"/>
      <c r="DV75" s="447"/>
      <c r="DW75" s="447"/>
      <c r="DX75" s="419"/>
      <c r="DY75" s="419"/>
      <c r="DZ75" s="419"/>
      <c r="EA75" s="419"/>
      <c r="EB75" s="419"/>
      <c r="EC75" s="419"/>
      <c r="ED75" s="442"/>
      <c r="EE75" s="442"/>
      <c r="EF75" s="442"/>
      <c r="EG75" s="442"/>
      <c r="EH75" s="442"/>
      <c r="EI75" s="442"/>
      <c r="EJ75" s="442"/>
      <c r="EK75" s="442"/>
      <c r="EL75" s="442"/>
      <c r="EM75" s="442"/>
      <c r="EN75" s="442"/>
      <c r="EO75" s="442"/>
      <c r="EP75" s="442"/>
      <c r="EQ75" s="442"/>
      <c r="ER75" s="442"/>
      <c r="ES75" s="442"/>
      <c r="ET75" s="442"/>
      <c r="EU75" s="442"/>
      <c r="EV75" s="442"/>
      <c r="EW75" s="442"/>
      <c r="EX75" s="442"/>
      <c r="EY75" s="442"/>
      <c r="EZ75" s="442"/>
      <c r="FA75" s="442"/>
      <c r="FB75" s="442"/>
      <c r="FC75" s="442"/>
    </row>
    <row r="76" spans="1:159" ht="14" customHeight="1" thickBot="1" x14ac:dyDescent="0.2">
      <c r="A76" s="270" t="str">
        <f>AD4</f>
        <v>z2</v>
      </c>
      <c r="B76" s="286">
        <f>IF('Raw Data Input'!AD$39&lt;&gt;"",IF('Raw Data Input'!AT$56="off",'Data Reduction Engine'!AB$34,'Data Reduction Engine'!AB$44),'Data Reduction Engine'!AB$34)</f>
        <v>2583.3553075790405</v>
      </c>
      <c r="C76" s="318">
        <f>'Data Reduction Engine'!AB45</f>
        <v>0.67275810061018748</v>
      </c>
      <c r="D76" s="255">
        <f>'Data Reduction Engine'!AB46</f>
        <v>2581.079491717388</v>
      </c>
      <c r="E76" s="288">
        <f>'Data Reduction Engine'!AB47</f>
        <v>0.91399090721536602</v>
      </c>
      <c r="F76" s="255">
        <f>IF('Raw Data Input'!AT$56="off",'Data Reduction Engine'!AB$38,'Data Reduction Engine'!AB$48)</f>
        <v>2578.1819910363379</v>
      </c>
      <c r="G76" s="288">
        <f>'Data Reduction Engine'!AB49</f>
        <v>1.4608478123968862</v>
      </c>
      <c r="H76" s="256">
        <f>'Data Reduction Engine'!AB213</f>
        <v>1.252370842396731</v>
      </c>
      <c r="I76" s="302">
        <f>'Data Reduction Engine'!AB59</f>
        <v>1734.2684098636807</v>
      </c>
      <c r="J76" s="286">
        <f t="shared" si="31"/>
        <v>1384.7882361623142</v>
      </c>
      <c r="K76" s="503">
        <f>'Data Reduction Engine'!AB55</f>
        <v>0.33617793657742934</v>
      </c>
      <c r="L76" s="315">
        <f>'Data Reduction Engine'!AB222</f>
        <v>1E-3</v>
      </c>
      <c r="M76" s="313">
        <f>'Data Reduction Engine'!AB224</f>
        <v>1.0067951354379287E-3</v>
      </c>
      <c r="O76" s="657">
        <f>ABS(NORMSINV(1/(4*T57)))</f>
        <v>1.7316643961222451</v>
      </c>
      <c r="P76" s="658" t="s">
        <v>545</v>
      </c>
      <c r="Q76" s="659"/>
      <c r="R76" s="659"/>
      <c r="S76" s="659"/>
      <c r="T76" s="660"/>
      <c r="V76" s="667" t="str">
        <f t="shared" si="0"/>
        <v/>
      </c>
      <c r="W76" s="668" t="str">
        <f t="shared" si="1"/>
        <v/>
      </c>
      <c r="X76" s="669">
        <f t="shared" si="10"/>
        <v>653.38954139806071</v>
      </c>
      <c r="AD76" s="721" t="s">
        <v>730</v>
      </c>
      <c r="AE76" s="711" t="s">
        <v>204</v>
      </c>
      <c r="AF76" s="711"/>
      <c r="AG76" s="722">
        <f>IF(AG72&gt;0,(AG70-(2*AE66)),"")</f>
        <v>0.62579505000000002</v>
      </c>
      <c r="BJ76" s="440"/>
      <c r="BK76" s="364" t="str">
        <f t="shared" si="11"/>
        <v/>
      </c>
      <c r="BL76" s="378" t="str">
        <f t="shared" si="2"/>
        <v/>
      </c>
      <c r="BM76" s="379" t="str">
        <f t="shared" si="3"/>
        <v/>
      </c>
      <c r="BN76" s="474"/>
      <c r="BO76" s="380" t="str">
        <f t="shared" si="4"/>
        <v/>
      </c>
      <c r="BP76" s="381" t="str">
        <f t="shared" si="5"/>
        <v/>
      </c>
      <c r="BQ76" s="468"/>
      <c r="BR76" s="380" t="str">
        <f t="shared" si="6"/>
        <v/>
      </c>
      <c r="BS76" s="381" t="str">
        <f t="shared" si="7"/>
        <v/>
      </c>
      <c r="BT76" s="369"/>
      <c r="BU76" s="370"/>
      <c r="BV76" s="371">
        <f>IF('Raw Data Input'!AT$56="off",'Data Reduction Engine'!AB$77,'Data Reduction Engine'!AB$90)</f>
        <v>0.17263507470686937</v>
      </c>
      <c r="BW76" s="372">
        <f>'Data Reduction Engine'!AB78</f>
        <v>4.0295955521946876E-2</v>
      </c>
      <c r="BX76" s="371">
        <f>'Data Reduction Engine'!AB69</f>
        <v>11.704752517214565</v>
      </c>
      <c r="BY76" s="372">
        <f>'Data Reduction Engine'!AB70</f>
        <v>9.7704808657056011E-2</v>
      </c>
      <c r="BZ76" s="371">
        <f>IF('Raw Data Input'!AT$56="off",'Data Reduction Engine'!AB$71,'Data Reduction Engine'!AB$84)</f>
        <v>0.49173590890573865</v>
      </c>
      <c r="CA76" s="372">
        <f>'Data Reduction Engine'!AB85</f>
        <v>6.8745898020845811E-2</v>
      </c>
      <c r="CB76" s="373" t="str">
        <f t="shared" si="12"/>
        <v/>
      </c>
      <c r="CC76" s="373"/>
      <c r="CD76" s="374" t="str">
        <f t="shared" si="13"/>
        <v/>
      </c>
      <c r="CE76" s="375" t="str">
        <f t="shared" si="14"/>
        <v/>
      </c>
      <c r="CF76" s="375" t="str">
        <f t="shared" si="15"/>
        <v/>
      </c>
      <c r="CG76" s="374" t="str">
        <f t="shared" si="16"/>
        <v/>
      </c>
      <c r="CH76" s="375" t="str">
        <f t="shared" si="17"/>
        <v/>
      </c>
      <c r="CI76" s="375" t="str">
        <f t="shared" si="18"/>
        <v/>
      </c>
      <c r="CJ76" s="374" t="str">
        <f t="shared" si="19"/>
        <v/>
      </c>
      <c r="CK76" s="375" t="str">
        <f t="shared" si="20"/>
        <v/>
      </c>
      <c r="CL76" s="375" t="str">
        <f t="shared" si="21"/>
        <v/>
      </c>
      <c r="CM76" s="376"/>
      <c r="CN76" s="377" t="str">
        <f t="shared" si="22"/>
        <v/>
      </c>
      <c r="CO76" s="377" t="str">
        <f t="shared" si="23"/>
        <v/>
      </c>
      <c r="CP76" s="377" t="str">
        <f t="shared" si="8"/>
        <v/>
      </c>
      <c r="CS76" s="450" t="s">
        <v>382</v>
      </c>
      <c r="CT76" s="444">
        <f>((1/$AT$68)*CZ77*EXP(CZ77*CX79))/(EXP(CZ78*CX79)-1)</f>
        <v>-4.6291815864673546E-9</v>
      </c>
      <c r="CU76" s="448" t="s">
        <v>384</v>
      </c>
      <c r="CV76" s="449">
        <f>EXP(CZ78*CX79)-1</f>
        <v>-1.5293652700670846E-3</v>
      </c>
      <c r="CW76" s="451" t="s">
        <v>112</v>
      </c>
      <c r="CX76" s="444">
        <f>DB76*CZ76/200</f>
        <v>3.4177840890455479E-3</v>
      </c>
      <c r="CY76" s="448" t="s">
        <v>96</v>
      </c>
      <c r="CZ76" s="452">
        <f>BV83</f>
        <v>4.5896489526701667E-2</v>
      </c>
      <c r="DA76" s="448" t="s">
        <v>113</v>
      </c>
      <c r="DB76" s="453">
        <f>(CD83/BV83)*100</f>
        <v>14.893444462924116</v>
      </c>
      <c r="DC76" s="454">
        <v>2500000000</v>
      </c>
      <c r="DD76" s="454">
        <f>IF($CZ76&gt;DC79,DC76+((DC77-DC76)/2),DC76-((DC76-DC78)/2))</f>
        <v>-1250000000</v>
      </c>
      <c r="DE76" s="454">
        <f t="shared" ref="DE76:DW76" si="32">IF($CZ76&gt;DD79,DD76+((DD77-DD76)/2),DD76-((DD76-DD78)/2))</f>
        <v>625000000</v>
      </c>
      <c r="DF76" s="454">
        <f t="shared" si="32"/>
        <v>-312500000</v>
      </c>
      <c r="DG76" s="454">
        <f t="shared" si="32"/>
        <v>156250000</v>
      </c>
      <c r="DH76" s="454">
        <f t="shared" si="32"/>
        <v>-78125000</v>
      </c>
      <c r="DI76" s="454">
        <f t="shared" si="32"/>
        <v>39062500</v>
      </c>
      <c r="DJ76" s="454">
        <f t="shared" si="32"/>
        <v>-19531250</v>
      </c>
      <c r="DK76" s="454">
        <f t="shared" si="32"/>
        <v>9765625</v>
      </c>
      <c r="DL76" s="454">
        <f t="shared" si="32"/>
        <v>-4882812.5</v>
      </c>
      <c r="DM76" s="454">
        <f t="shared" si="32"/>
        <v>-12207031.25</v>
      </c>
      <c r="DN76" s="454">
        <f t="shared" si="32"/>
        <v>-8544921.875</v>
      </c>
      <c r="DO76" s="454">
        <f t="shared" si="32"/>
        <v>-10375976.5625</v>
      </c>
      <c r="DP76" s="454">
        <f t="shared" si="32"/>
        <v>-9460449.21875</v>
      </c>
      <c r="DQ76" s="454">
        <f t="shared" si="32"/>
        <v>-9918212.890625</v>
      </c>
      <c r="DR76" s="454">
        <f t="shared" si="32"/>
        <v>-9689331.0546875</v>
      </c>
      <c r="DS76" s="454">
        <f t="shared" si="32"/>
        <v>-9803771.97265625</v>
      </c>
      <c r="DT76" s="454">
        <f t="shared" si="32"/>
        <v>-9860992.431640625</v>
      </c>
      <c r="DU76" s="454">
        <f t="shared" si="32"/>
        <v>-9889602.6611328125</v>
      </c>
      <c r="DV76" s="454">
        <f t="shared" si="32"/>
        <v>-9875297.5463867188</v>
      </c>
      <c r="DW76" s="454">
        <f t="shared" si="32"/>
        <v>-9868144.9890136719</v>
      </c>
      <c r="DX76" s="454">
        <f t="shared" ref="DX76:EC76" si="33">IF($CZ76&gt;DW79,DW76+((DW77-DW76)/2),DW76-((DW76-DW78)/2))</f>
        <v>-9864568.7103271484</v>
      </c>
      <c r="DY76" s="454">
        <f t="shared" si="33"/>
        <v>-9866356.8496704102</v>
      </c>
      <c r="DZ76" s="454">
        <f t="shared" si="33"/>
        <v>-9867250.919342041</v>
      </c>
      <c r="EA76" s="454">
        <f t="shared" si="33"/>
        <v>-9866803.8845062256</v>
      </c>
      <c r="EB76" s="454">
        <f t="shared" si="33"/>
        <v>-9866580.3670883179</v>
      </c>
      <c r="EC76" s="454">
        <f t="shared" si="33"/>
        <v>-9866468.608379364</v>
      </c>
      <c r="ED76" s="442"/>
      <c r="EE76" s="442"/>
      <c r="EF76" s="442"/>
      <c r="EG76" s="442"/>
      <c r="EH76" s="442"/>
      <c r="EI76" s="442"/>
      <c r="EJ76" s="442"/>
      <c r="EK76" s="442"/>
      <c r="EL76" s="442"/>
      <c r="EM76" s="442"/>
      <c r="EN76" s="442"/>
      <c r="EO76" s="442"/>
      <c r="EP76" s="442"/>
      <c r="EQ76" s="442"/>
      <c r="ER76" s="442"/>
      <c r="ES76" s="442"/>
      <c r="ET76" s="442"/>
      <c r="EU76" s="442"/>
      <c r="EV76" s="442"/>
      <c r="EW76" s="442"/>
      <c r="EX76" s="442"/>
      <c r="EY76" s="442"/>
      <c r="EZ76" s="442"/>
      <c r="FA76" s="442"/>
      <c r="FB76" s="442"/>
      <c r="FC76" s="442"/>
    </row>
    <row r="77" spans="1:159" ht="14" customHeight="1" x14ac:dyDescent="0.2">
      <c r="A77" s="270" t="str">
        <f>AE4</f>
        <v>z3</v>
      </c>
      <c r="B77" s="286">
        <f>IF('Raw Data Input'!AE$39&lt;&gt;"",IF('Raw Data Input'!AT$56="off",'Data Reduction Engine'!AC$34,'Data Reduction Engine'!AC$44),'Data Reduction Engine'!AC$34)</f>
        <v>2583.4482908248901</v>
      </c>
      <c r="C77" s="318">
        <f>'Data Reduction Engine'!AC45</f>
        <v>0.67554380066341124</v>
      </c>
      <c r="D77" s="255">
        <f>'Data Reduction Engine'!AC46</f>
        <v>2580.6758219025965</v>
      </c>
      <c r="E77" s="288">
        <f>'Data Reduction Engine'!AC47</f>
        <v>0.82610788460628692</v>
      </c>
      <c r="F77" s="255">
        <f>IF('Raw Data Input'!AT$56="off",'Data Reduction Engine'!AC$38,'Data Reduction Engine'!AC$48)</f>
        <v>2577.1460225858882</v>
      </c>
      <c r="G77" s="288">
        <f>'Data Reduction Engine'!AC49</f>
        <v>1.1556110385914318</v>
      </c>
      <c r="H77" s="256">
        <f>'Data Reduction Engine'!AC213</f>
        <v>0.71784940001906239</v>
      </c>
      <c r="I77" s="302">
        <f>'Data Reduction Engine'!AC59</f>
        <v>819.2224306051919</v>
      </c>
      <c r="J77" s="286">
        <f t="shared" si="31"/>
        <v>1141.2176851905672</v>
      </c>
      <c r="K77" s="503">
        <f>'Data Reduction Engine'!AC55</f>
        <v>0.38818158249728779</v>
      </c>
      <c r="L77" s="315">
        <f>'Data Reduction Engine'!AC222</f>
        <v>1E-3</v>
      </c>
      <c r="M77" s="313">
        <f>'Data Reduction Engine'!AC224</f>
        <v>9.2581602532847878E-4</v>
      </c>
      <c r="O77" s="627" t="s">
        <v>364</v>
      </c>
      <c r="P77" s="661"/>
      <c r="Q77" s="661"/>
      <c r="R77" s="661"/>
      <c r="S77" s="661"/>
      <c r="T77" s="662"/>
      <c r="V77" s="667" t="str">
        <f t="shared" si="0"/>
        <v/>
      </c>
      <c r="W77" s="668" t="str">
        <f t="shared" si="1"/>
        <v/>
      </c>
      <c r="X77" s="669">
        <f t="shared" si="10"/>
        <v>653.11758781650826</v>
      </c>
      <c r="AD77" s="723"/>
      <c r="AE77" s="714" t="s">
        <v>205</v>
      </c>
      <c r="AF77" s="714"/>
      <c r="AG77" s="724">
        <f>AG71</f>
        <v>5.920621E-3</v>
      </c>
      <c r="AK77" s="797" t="s">
        <v>740</v>
      </c>
      <c r="AL77" s="798"/>
      <c r="AM77" s="798"/>
      <c r="AN77" s="798"/>
      <c r="AO77" s="798"/>
      <c r="AP77" s="799"/>
      <c r="AQ77" s="797" t="s">
        <v>741</v>
      </c>
      <c r="AR77" s="798"/>
      <c r="AS77" s="798"/>
      <c r="AT77" s="798"/>
      <c r="AU77" s="798"/>
      <c r="AV77" s="799"/>
      <c r="AW77" s="797" t="s">
        <v>742</v>
      </c>
      <c r="AX77" s="798"/>
      <c r="AY77" s="798"/>
      <c r="AZ77" s="798"/>
      <c r="BA77" s="798"/>
      <c r="BB77" s="799"/>
      <c r="BC77" s="797" t="s">
        <v>743</v>
      </c>
      <c r="BD77" s="798"/>
      <c r="BE77" s="321"/>
      <c r="BF77" s="321"/>
      <c r="BG77" s="321"/>
      <c r="BH77" s="322"/>
      <c r="BJ77" s="437"/>
      <c r="BK77" s="364" t="str">
        <f t="shared" si="11"/>
        <v/>
      </c>
      <c r="BL77" s="382" t="str">
        <f t="shared" si="2"/>
        <v/>
      </c>
      <c r="BM77" s="383" t="str">
        <f t="shared" si="3"/>
        <v/>
      </c>
      <c r="BN77" s="475"/>
      <c r="BO77" s="384" t="str">
        <f t="shared" si="4"/>
        <v/>
      </c>
      <c r="BP77" s="385" t="str">
        <f t="shared" si="5"/>
        <v/>
      </c>
      <c r="BQ77" s="469"/>
      <c r="BR77" s="384" t="str">
        <f t="shared" si="6"/>
        <v/>
      </c>
      <c r="BS77" s="385" t="str">
        <f t="shared" si="7"/>
        <v/>
      </c>
      <c r="BT77" s="386"/>
      <c r="BU77" s="329"/>
      <c r="BV77" s="371">
        <f>IF('Raw Data Input'!AT$56="off",'Data Reduction Engine'!AC$77,'Data Reduction Engine'!AC$90)</f>
        <v>0.17264475434158366</v>
      </c>
      <c r="BW77" s="388">
        <f>'Data Reduction Engine'!AC78</f>
        <v>4.0463192714297117E-2</v>
      </c>
      <c r="BX77" s="387">
        <f>'Data Reduction Engine'!AC69</f>
        <v>11.699702693130112</v>
      </c>
      <c r="BY77" s="388">
        <f>'Data Reduction Engine'!AC70</f>
        <v>8.8313192491927164E-2</v>
      </c>
      <c r="BZ77" s="371">
        <f>IF('Raw Data Input'!AT$56="off",'Data Reduction Engine'!AC$71,'Data Reduction Engine'!AC$84)</f>
        <v>0.49149619933615879</v>
      </c>
      <c r="CA77" s="388">
        <f>'Data Reduction Engine'!AC85</f>
        <v>5.4399569559332894E-2</v>
      </c>
      <c r="CB77" s="373" t="str">
        <f t="shared" si="12"/>
        <v/>
      </c>
      <c r="CC77" s="373"/>
      <c r="CD77" s="374" t="str">
        <f t="shared" si="13"/>
        <v/>
      </c>
      <c r="CE77" s="375" t="str">
        <f t="shared" si="14"/>
        <v/>
      </c>
      <c r="CF77" s="375" t="str">
        <f t="shared" si="15"/>
        <v/>
      </c>
      <c r="CG77" s="374" t="str">
        <f t="shared" si="16"/>
        <v/>
      </c>
      <c r="CH77" s="375" t="str">
        <f t="shared" si="17"/>
        <v/>
      </c>
      <c r="CI77" s="375" t="str">
        <f t="shared" si="18"/>
        <v/>
      </c>
      <c r="CJ77" s="374" t="str">
        <f t="shared" si="19"/>
        <v/>
      </c>
      <c r="CK77" s="375" t="str">
        <f t="shared" si="20"/>
        <v/>
      </c>
      <c r="CL77" s="375" t="str">
        <f t="shared" si="21"/>
        <v/>
      </c>
      <c r="CM77" s="376"/>
      <c r="CN77" s="377" t="str">
        <f t="shared" si="22"/>
        <v/>
      </c>
      <c r="CO77" s="377" t="str">
        <f t="shared" si="23"/>
        <v/>
      </c>
      <c r="CP77" s="377" t="str">
        <f t="shared" si="8"/>
        <v/>
      </c>
      <c r="CS77" s="450" t="s">
        <v>383</v>
      </c>
      <c r="CT77" s="444">
        <f>((1/$AT$68)*(EXP(CZ77*CX79)-1)*CZ78*EXP(CZ78*CX79))/((EXP(CZ78*CX79)-1)^2)</f>
        <v>-4.6482058401245115E-9</v>
      </c>
      <c r="CU77" s="448" t="s">
        <v>109</v>
      </c>
      <c r="CV77" s="449">
        <f>(1/$AT$68)*CX79*EXP(CZ77*CX79)</f>
        <v>-70865.82191527533</v>
      </c>
      <c r="CW77" s="451" t="s">
        <v>114</v>
      </c>
      <c r="CX77" s="444">
        <f>DB77*CZ77/200</f>
        <v>8.3783650000000009E-14</v>
      </c>
      <c r="CY77" s="455" t="s">
        <v>115</v>
      </c>
      <c r="CZ77" s="456">
        <v>9.8568999999999993E-10</v>
      </c>
      <c r="DA77" s="457" t="s">
        <v>116</v>
      </c>
      <c r="DB77" s="453">
        <v>1.7000000000000001E-2</v>
      </c>
      <c r="DC77" s="454">
        <v>5000000000</v>
      </c>
      <c r="DD77" s="454">
        <f>IF($CZ76&lt;DC79,DC76,DC77)</f>
        <v>2500000000</v>
      </c>
      <c r="DE77" s="454">
        <f t="shared" ref="DE77:DW77" si="34">IF($CZ76&lt;DD79,DD76,DD77)</f>
        <v>2500000000</v>
      </c>
      <c r="DF77" s="454">
        <f t="shared" si="34"/>
        <v>625000000</v>
      </c>
      <c r="DG77" s="454">
        <f t="shared" si="34"/>
        <v>625000000</v>
      </c>
      <c r="DH77" s="454">
        <f t="shared" si="34"/>
        <v>156250000</v>
      </c>
      <c r="DI77" s="454">
        <f t="shared" si="34"/>
        <v>156250000</v>
      </c>
      <c r="DJ77" s="454">
        <f t="shared" si="34"/>
        <v>39062500</v>
      </c>
      <c r="DK77" s="454">
        <f t="shared" si="34"/>
        <v>39062500</v>
      </c>
      <c r="DL77" s="454">
        <f t="shared" si="34"/>
        <v>9765625</v>
      </c>
      <c r="DM77" s="454">
        <f t="shared" si="34"/>
        <v>-4882812.5</v>
      </c>
      <c r="DN77" s="454">
        <f t="shared" si="34"/>
        <v>-4882812.5</v>
      </c>
      <c r="DO77" s="454">
        <f t="shared" si="34"/>
        <v>-8544921.875</v>
      </c>
      <c r="DP77" s="454">
        <f t="shared" si="34"/>
        <v>-8544921.875</v>
      </c>
      <c r="DQ77" s="454">
        <f t="shared" si="34"/>
        <v>-9460449.21875</v>
      </c>
      <c r="DR77" s="454">
        <f t="shared" si="34"/>
        <v>-9460449.21875</v>
      </c>
      <c r="DS77" s="454">
        <f t="shared" si="34"/>
        <v>-9689331.0546875</v>
      </c>
      <c r="DT77" s="454">
        <f t="shared" si="34"/>
        <v>-9803771.97265625</v>
      </c>
      <c r="DU77" s="454">
        <f t="shared" si="34"/>
        <v>-9860992.431640625</v>
      </c>
      <c r="DV77" s="454">
        <f t="shared" si="34"/>
        <v>-9860992.431640625</v>
      </c>
      <c r="DW77" s="454">
        <f t="shared" si="34"/>
        <v>-9860992.431640625</v>
      </c>
      <c r="DX77" s="454">
        <f t="shared" ref="DX77:EC77" si="35">IF($CZ76&lt;DW79,DW76,DW77)</f>
        <v>-9860992.431640625</v>
      </c>
      <c r="DY77" s="454">
        <f t="shared" si="35"/>
        <v>-9864568.7103271484</v>
      </c>
      <c r="DZ77" s="454">
        <f t="shared" si="35"/>
        <v>-9866356.8496704102</v>
      </c>
      <c r="EA77" s="454">
        <f t="shared" si="35"/>
        <v>-9866356.8496704102</v>
      </c>
      <c r="EB77" s="454">
        <f t="shared" si="35"/>
        <v>-9866356.8496704102</v>
      </c>
      <c r="EC77" s="454">
        <f t="shared" si="35"/>
        <v>-9866356.8496704102</v>
      </c>
      <c r="ED77" s="442"/>
      <c r="EE77" s="442"/>
      <c r="EF77" s="442"/>
      <c r="EG77" s="442"/>
      <c r="EH77" s="442"/>
      <c r="EI77" s="442"/>
      <c r="EJ77" s="442"/>
      <c r="EK77" s="442"/>
      <c r="EL77" s="442"/>
      <c r="EM77" s="442"/>
      <c r="EN77" s="442"/>
      <c r="EO77" s="442"/>
      <c r="EP77" s="442"/>
      <c r="EQ77" s="442"/>
      <c r="ER77" s="442"/>
      <c r="ES77" s="442"/>
      <c r="ET77" s="442"/>
      <c r="EU77" s="442"/>
      <c r="EV77" s="442"/>
      <c r="EW77" s="442"/>
      <c r="EX77" s="442"/>
      <c r="EY77" s="442"/>
      <c r="EZ77" s="442"/>
      <c r="FA77" s="442"/>
      <c r="FB77" s="442"/>
      <c r="FC77" s="442"/>
    </row>
    <row r="78" spans="1:159" ht="14" customHeight="1" x14ac:dyDescent="0.2">
      <c r="A78" s="270" t="str">
        <f>AF4</f>
        <v>z4</v>
      </c>
      <c r="B78" s="286">
        <f>IF('Raw Data Input'!AF$39&lt;&gt;"",IF('Raw Data Input'!AT$56="off",'Data Reduction Engine'!AD$34,'Data Reduction Engine'!AD$44),'Data Reduction Engine'!AD$34)</f>
        <v>2583.7916135787964</v>
      </c>
      <c r="C78" s="318">
        <f>'Data Reduction Engine'!AD45</f>
        <v>0.67162202290574391</v>
      </c>
      <c r="D78" s="255">
        <f>'Data Reduction Engine'!AD46</f>
        <v>2581.2726684086429</v>
      </c>
      <c r="E78" s="288">
        <f>'Data Reduction Engine'!AD47</f>
        <v>0.8321426577709663</v>
      </c>
      <c r="F78" s="255">
        <f>IF('Raw Data Input'!AT$56="off",'Data Reduction Engine'!AD$38,'Data Reduction Engine'!AD$48)</f>
        <v>2578.0649159356567</v>
      </c>
      <c r="G78" s="288">
        <f>'Data Reduction Engine'!AD49</f>
        <v>1.1792790913155295</v>
      </c>
      <c r="H78" s="256">
        <f>'Data Reduction Engine'!AD213</f>
        <v>3.2413582392707743</v>
      </c>
      <c r="I78" s="302">
        <f>'Data Reduction Engine'!AD59</f>
        <v>2041.4979925967723</v>
      </c>
      <c r="J78" s="286">
        <f t="shared" si="31"/>
        <v>629.82794307119195</v>
      </c>
      <c r="K78" s="503">
        <f>'Data Reduction Engine'!AD55</f>
        <v>0.46263384440740607</v>
      </c>
      <c r="L78" s="315">
        <f>'Data Reduction Engine'!AD222</f>
        <v>1E-3</v>
      </c>
      <c r="M78" s="313">
        <f>'Data Reduction Engine'!AD224</f>
        <v>9.0700787106938962E-4</v>
      </c>
      <c r="O78" s="649">
        <f>TINV(0.05,T61)</f>
        <v>2.4469118511449697</v>
      </c>
      <c r="P78" s="650" t="s">
        <v>544</v>
      </c>
      <c r="Q78" s="651"/>
      <c r="R78" s="651"/>
      <c r="S78" s="651"/>
      <c r="T78" s="652"/>
      <c r="V78" s="667" t="str">
        <f t="shared" si="0"/>
        <v/>
      </c>
      <c r="W78" s="668" t="str">
        <f t="shared" si="1"/>
        <v/>
      </c>
      <c r="X78" s="669">
        <f t="shared" si="10"/>
        <v>653.35880784345579</v>
      </c>
      <c r="AD78" s="721" t="s">
        <v>731</v>
      </c>
      <c r="AE78" s="716" t="s">
        <v>204</v>
      </c>
      <c r="AF78" s="716"/>
      <c r="AG78" s="725">
        <f>IF(AG72&gt;0,AG72,"")</f>
        <v>0.98798026000000005</v>
      </c>
      <c r="AK78" s="754"/>
      <c r="AL78" s="757" t="s">
        <v>735</v>
      </c>
      <c r="AM78" s="758" t="s">
        <v>627</v>
      </c>
      <c r="AN78" s="575"/>
      <c r="AO78" s="755"/>
      <c r="AP78" s="756"/>
      <c r="AQ78" s="754"/>
      <c r="AR78" s="757" t="s">
        <v>735</v>
      </c>
      <c r="AS78" s="758" t="s">
        <v>556</v>
      </c>
      <c r="AT78" s="575"/>
      <c r="AU78" s="755"/>
      <c r="AV78" s="756"/>
      <c r="AW78" s="754"/>
      <c r="AX78" s="757" t="s">
        <v>735</v>
      </c>
      <c r="AY78" s="758" t="s">
        <v>637</v>
      </c>
      <c r="AZ78" s="575"/>
      <c r="BA78" s="755"/>
      <c r="BB78" s="756"/>
      <c r="BC78" s="754"/>
      <c r="BD78" s="757" t="s">
        <v>735</v>
      </c>
      <c r="BE78" s="758" t="s">
        <v>736</v>
      </c>
      <c r="BF78" s="575"/>
      <c r="BG78" s="755"/>
      <c r="BH78" s="756"/>
      <c r="BJ78" s="440"/>
      <c r="BK78" s="364" t="str">
        <f t="shared" si="11"/>
        <v/>
      </c>
      <c r="BL78" s="378" t="str">
        <f t="shared" si="2"/>
        <v/>
      </c>
      <c r="BM78" s="379" t="str">
        <f t="shared" si="3"/>
        <v/>
      </c>
      <c r="BN78" s="474"/>
      <c r="BO78" s="380" t="str">
        <f t="shared" si="4"/>
        <v/>
      </c>
      <c r="BP78" s="381" t="str">
        <f t="shared" si="5"/>
        <v/>
      </c>
      <c r="BQ78" s="468"/>
      <c r="BR78" s="380" t="str">
        <f t="shared" si="6"/>
        <v/>
      </c>
      <c r="BS78" s="381" t="str">
        <f t="shared" si="7"/>
        <v/>
      </c>
      <c r="BT78" s="369"/>
      <c r="BU78" s="370"/>
      <c r="BV78" s="371">
        <f>IF('Raw Data Input'!AT$56="off",'Data Reduction Engine'!AD$77,'Data Reduction Engine'!AD$90)</f>
        <v>0.17268024156161021</v>
      </c>
      <c r="BW78" s="372">
        <f>'Data Reduction Engine'!AD78</f>
        <v>4.0229634801353727E-2</v>
      </c>
      <c r="BX78" s="371">
        <f>'Data Reduction Engine'!AD69</f>
        <v>11.707169827138323</v>
      </c>
      <c r="BY78" s="372">
        <f>'Data Reduction Engine'!AD70</f>
        <v>8.895385843604911E-2</v>
      </c>
      <c r="BZ78" s="371">
        <f>IF('Raw Data Input'!AT$56="off",'Data Reduction Engine'!AD$71,'Data Reduction Engine'!AD$84)</f>
        <v>0.4917088173256895</v>
      </c>
      <c r="CA78" s="372">
        <f>'Data Reduction Engine'!AD85</f>
        <v>5.5497632113859739E-2</v>
      </c>
      <c r="CB78" s="373" t="str">
        <f t="shared" si="12"/>
        <v/>
      </c>
      <c r="CC78" s="373"/>
      <c r="CD78" s="374" t="str">
        <f t="shared" si="13"/>
        <v/>
      </c>
      <c r="CE78" s="375" t="str">
        <f t="shared" si="14"/>
        <v/>
      </c>
      <c r="CF78" s="375" t="str">
        <f t="shared" si="15"/>
        <v/>
      </c>
      <c r="CG78" s="374" t="str">
        <f t="shared" si="16"/>
        <v/>
      </c>
      <c r="CH78" s="375" t="str">
        <f t="shared" si="17"/>
        <v/>
      </c>
      <c r="CI78" s="375" t="str">
        <f t="shared" si="18"/>
        <v/>
      </c>
      <c r="CJ78" s="374" t="str">
        <f t="shared" si="19"/>
        <v/>
      </c>
      <c r="CK78" s="375" t="str">
        <f t="shared" si="20"/>
        <v/>
      </c>
      <c r="CL78" s="375" t="str">
        <f t="shared" si="21"/>
        <v/>
      </c>
      <c r="CM78" s="376"/>
      <c r="CN78" s="377" t="str">
        <f t="shared" si="22"/>
        <v/>
      </c>
      <c r="CO78" s="377" t="str">
        <f t="shared" si="23"/>
        <v/>
      </c>
      <c r="CP78" s="377" t="str">
        <f t="shared" si="8"/>
        <v/>
      </c>
      <c r="CS78" s="450" t="s">
        <v>384</v>
      </c>
      <c r="CT78" s="444">
        <f>CT76-CT77</f>
        <v>1.902425365715689E-11</v>
      </c>
      <c r="CU78" s="448" t="s">
        <v>110</v>
      </c>
      <c r="CV78" s="449">
        <f>CZ76*CX79*EXP(CZ78*CX79)</f>
        <v>-452143.72108083201</v>
      </c>
      <c r="CW78" s="451" t="s">
        <v>117</v>
      </c>
      <c r="CX78" s="444">
        <f>DB78*CZ78/200</f>
        <v>8.3767499999999989E-14</v>
      </c>
      <c r="CY78" s="455" t="s">
        <v>118</v>
      </c>
      <c r="CZ78" s="456">
        <f>AT65</f>
        <v>1.5512499999999999E-10</v>
      </c>
      <c r="DA78" s="457" t="s">
        <v>116</v>
      </c>
      <c r="DB78" s="458">
        <v>0.108</v>
      </c>
      <c r="DC78" s="454">
        <v>-5000000000</v>
      </c>
      <c r="DD78" s="454">
        <f>IF($CZ76&gt;DC79,DC76,DC78)</f>
        <v>-5000000000</v>
      </c>
      <c r="DE78" s="454">
        <f t="shared" ref="DE78:DW78" si="36">IF($CZ76&gt;DD79,DD76,DD78)</f>
        <v>-1250000000</v>
      </c>
      <c r="DF78" s="454">
        <f t="shared" si="36"/>
        <v>-1250000000</v>
      </c>
      <c r="DG78" s="454">
        <f t="shared" si="36"/>
        <v>-312500000</v>
      </c>
      <c r="DH78" s="454">
        <f t="shared" si="36"/>
        <v>-312500000</v>
      </c>
      <c r="DI78" s="454">
        <f t="shared" si="36"/>
        <v>-78125000</v>
      </c>
      <c r="DJ78" s="454">
        <f t="shared" si="36"/>
        <v>-78125000</v>
      </c>
      <c r="DK78" s="454">
        <f t="shared" si="36"/>
        <v>-19531250</v>
      </c>
      <c r="DL78" s="454">
        <f t="shared" si="36"/>
        <v>-19531250</v>
      </c>
      <c r="DM78" s="454">
        <f t="shared" si="36"/>
        <v>-19531250</v>
      </c>
      <c r="DN78" s="454">
        <f t="shared" si="36"/>
        <v>-12207031.25</v>
      </c>
      <c r="DO78" s="454">
        <f t="shared" si="36"/>
        <v>-12207031.25</v>
      </c>
      <c r="DP78" s="454">
        <f t="shared" si="36"/>
        <v>-10375976.5625</v>
      </c>
      <c r="DQ78" s="454">
        <f t="shared" si="36"/>
        <v>-10375976.5625</v>
      </c>
      <c r="DR78" s="454">
        <f t="shared" si="36"/>
        <v>-9918212.890625</v>
      </c>
      <c r="DS78" s="454">
        <f t="shared" si="36"/>
        <v>-9918212.890625</v>
      </c>
      <c r="DT78" s="454">
        <f t="shared" si="36"/>
        <v>-9918212.890625</v>
      </c>
      <c r="DU78" s="454">
        <f t="shared" si="36"/>
        <v>-9918212.890625</v>
      </c>
      <c r="DV78" s="454">
        <f t="shared" si="36"/>
        <v>-9889602.6611328125</v>
      </c>
      <c r="DW78" s="454">
        <f t="shared" si="36"/>
        <v>-9875297.5463867188</v>
      </c>
      <c r="DX78" s="454">
        <f t="shared" ref="DX78:EC78" si="37">IF($CZ76&gt;DW79,DW76,DW78)</f>
        <v>-9868144.9890136719</v>
      </c>
      <c r="DY78" s="454">
        <f t="shared" si="37"/>
        <v>-9868144.9890136719</v>
      </c>
      <c r="DZ78" s="454">
        <f t="shared" si="37"/>
        <v>-9868144.9890136719</v>
      </c>
      <c r="EA78" s="454">
        <f t="shared" si="37"/>
        <v>-9867250.919342041</v>
      </c>
      <c r="EB78" s="454">
        <f t="shared" si="37"/>
        <v>-9866803.8845062256</v>
      </c>
      <c r="EC78" s="454">
        <f t="shared" si="37"/>
        <v>-9866580.3670883179</v>
      </c>
      <c r="ED78" s="442"/>
      <c r="EE78" s="442"/>
      <c r="EF78" s="442"/>
      <c r="EG78" s="442"/>
      <c r="EH78" s="442"/>
      <c r="EI78" s="442"/>
      <c r="EJ78" s="442"/>
      <c r="EK78" s="442"/>
      <c r="EL78" s="442"/>
      <c r="EM78" s="442"/>
      <c r="EN78" s="442"/>
      <c r="EO78" s="442"/>
      <c r="EP78" s="442"/>
      <c r="EQ78" s="442"/>
      <c r="ER78" s="442"/>
      <c r="ES78" s="442"/>
      <c r="ET78" s="442"/>
      <c r="EU78" s="442"/>
      <c r="EV78" s="442"/>
      <c r="EW78" s="442"/>
      <c r="EX78" s="442"/>
      <c r="EY78" s="442"/>
      <c r="EZ78" s="442"/>
      <c r="FA78" s="442"/>
      <c r="FB78" s="442"/>
      <c r="FC78" s="442"/>
    </row>
    <row r="79" spans="1:159" ht="14" customHeight="1" thickBot="1" x14ac:dyDescent="0.2">
      <c r="A79" s="270" t="str">
        <f>AG4</f>
        <v>z5</v>
      </c>
      <c r="B79" s="286">
        <f>IF('Raw Data Input'!AG$39&lt;&gt;"",IF('Raw Data Input'!AT$56="off",'Data Reduction Engine'!AE$34,'Data Reduction Engine'!AE$44),'Data Reduction Engine'!AE$34)</f>
        <v>2581.7137956619263</v>
      </c>
      <c r="C79" s="318">
        <f>'Data Reduction Engine'!AE45</f>
        <v>0.66550439948198326</v>
      </c>
      <c r="D79" s="255">
        <f>'Data Reduction Engine'!AE46</f>
        <v>2578.0874139751522</v>
      </c>
      <c r="E79" s="288">
        <f>'Data Reduction Engine'!AE47</f>
        <v>0.87238035001953429</v>
      </c>
      <c r="F79" s="255">
        <f>IF('Raw Data Input'!AT$56="off",'Data Reduction Engine'!AE$38,'Data Reduction Engine'!AE$48)</f>
        <v>2573.4765944775418</v>
      </c>
      <c r="G79" s="288">
        <f>'Data Reduction Engine'!AE49</f>
        <v>1.323194281878743</v>
      </c>
      <c r="H79" s="256">
        <f>'Data Reduction Engine'!AE213</f>
        <v>2.9470107173504831</v>
      </c>
      <c r="I79" s="302">
        <f>'Data Reduction Engine'!AE59</f>
        <v>1842.7115644806413</v>
      </c>
      <c r="J79" s="286">
        <f t="shared" si="31"/>
        <v>625.28159590045038</v>
      </c>
      <c r="K79" s="503">
        <f>'Data Reduction Engine'!AE55</f>
        <v>0.47848803287039327</v>
      </c>
      <c r="L79" s="315">
        <f>'Data Reduction Engine'!AE222</f>
        <v>1E-3</v>
      </c>
      <c r="M79" s="313">
        <f>'Data Reduction Engine'!AE224</f>
        <v>8.8614123791773414E-4</v>
      </c>
      <c r="O79" s="653">
        <f>(O78*(T61-1))/(SQRT(T61)*SQRT(T61-2+O78^2))</f>
        <v>1.5804725904328889</v>
      </c>
      <c r="P79" s="654" t="s">
        <v>546</v>
      </c>
      <c r="Q79" s="655"/>
      <c r="R79" s="655"/>
      <c r="S79" s="655"/>
      <c r="T79" s="656"/>
      <c r="V79" s="667" t="str">
        <f t="shared" si="0"/>
        <v/>
      </c>
      <c r="W79" s="668" t="str">
        <f t="shared" si="1"/>
        <v/>
      </c>
      <c r="X79" s="669">
        <f>IF(ISERROR(F79),"",ABS(($F79-O$52)/(BS$83*SQRT(T$53))))</f>
        <v>652.15432091790626</v>
      </c>
      <c r="AD79" s="726"/>
      <c r="AE79" s="727" t="s">
        <v>205</v>
      </c>
      <c r="AF79" s="727"/>
      <c r="AG79" s="728">
        <f>AG73</f>
        <v>4.7212583000000004E-3</v>
      </c>
      <c r="AK79" s="559"/>
      <c r="AL79" s="540" t="s">
        <v>423</v>
      </c>
      <c r="AM79" s="576">
        <v>9.9767636800000007E-12</v>
      </c>
      <c r="AN79" s="577">
        <v>0.05</v>
      </c>
      <c r="AO79" s="542" t="s">
        <v>489</v>
      </c>
      <c r="AP79" s="259"/>
      <c r="AQ79" s="258"/>
      <c r="AR79" s="540" t="s">
        <v>423</v>
      </c>
      <c r="AS79" s="576">
        <v>9.8526141239351208E-12</v>
      </c>
      <c r="AT79" s="577"/>
      <c r="AU79" s="542" t="s">
        <v>489</v>
      </c>
      <c r="AV79" s="259"/>
      <c r="AW79" s="258"/>
      <c r="AX79" s="540" t="s">
        <v>423</v>
      </c>
      <c r="AY79" s="576">
        <v>9.9767636800000007E-12</v>
      </c>
      <c r="AZ79" s="577"/>
      <c r="BA79" s="542" t="s">
        <v>489</v>
      </c>
      <c r="BB79" s="259"/>
      <c r="BC79" s="258"/>
      <c r="BD79" s="540" t="s">
        <v>423</v>
      </c>
      <c r="BE79" s="578">
        <v>1.84094E-11</v>
      </c>
      <c r="BF79" s="577"/>
      <c r="BG79" s="542" t="s">
        <v>489</v>
      </c>
      <c r="BH79" s="259"/>
      <c r="BJ79" s="437"/>
      <c r="BK79" s="364" t="str">
        <f t="shared" si="11"/>
        <v/>
      </c>
      <c r="BL79" s="382" t="str">
        <f t="shared" si="2"/>
        <v/>
      </c>
      <c r="BM79" s="383" t="str">
        <f t="shared" si="3"/>
        <v/>
      </c>
      <c r="BN79" s="475"/>
      <c r="BO79" s="384" t="str">
        <f t="shared" si="4"/>
        <v/>
      </c>
      <c r="BP79" s="385" t="str">
        <f t="shared" si="5"/>
        <v/>
      </c>
      <c r="BQ79" s="469"/>
      <c r="BR79" s="384" t="str">
        <f t="shared" si="6"/>
        <v/>
      </c>
      <c r="BS79" s="385" t="str">
        <f t="shared" si="7"/>
        <v/>
      </c>
      <c r="BT79" s="386"/>
      <c r="BU79" s="329"/>
      <c r="BV79" s="371">
        <f>IF('Raw Data Input'!AT$56="off",'Data Reduction Engine'!AE$77,'Data Reduction Engine'!AE$90)</f>
        <v>0.17246546577381075</v>
      </c>
      <c r="BW79" s="388">
        <f>'Data Reduction Engine'!AE78</f>
        <v>3.9855153991528884E-2</v>
      </c>
      <c r="BX79" s="387">
        <f>'Data Reduction Engine'!AE69</f>
        <v>11.667369921726953</v>
      </c>
      <c r="BY79" s="388">
        <f>'Data Reduction Engine'!AE70</f>
        <v>9.3280195925673604E-2</v>
      </c>
      <c r="BZ79" s="371">
        <f>IF('Raw Data Input'!AT$56="off",'Data Reduction Engine'!AE$71,'Data Reduction Engine'!AE$84)</f>
        <v>0.49064745140199373</v>
      </c>
      <c r="CA79" s="388">
        <f>'Data Reduction Engine'!AE85</f>
        <v>6.236067458773166E-2</v>
      </c>
      <c r="CB79" s="373" t="str">
        <f t="shared" si="12"/>
        <v/>
      </c>
      <c r="CC79" s="373"/>
      <c r="CD79" s="374" t="str">
        <f t="shared" si="13"/>
        <v/>
      </c>
      <c r="CE79" s="375" t="str">
        <f t="shared" si="14"/>
        <v/>
      </c>
      <c r="CF79" s="375" t="str">
        <f t="shared" si="15"/>
        <v/>
      </c>
      <c r="CG79" s="374" t="str">
        <f t="shared" si="16"/>
        <v/>
      </c>
      <c r="CH79" s="375" t="str">
        <f t="shared" si="17"/>
        <v/>
      </c>
      <c r="CI79" s="375" t="str">
        <f t="shared" si="18"/>
        <v/>
      </c>
      <c r="CJ79" s="374" t="str">
        <f t="shared" si="19"/>
        <v/>
      </c>
      <c r="CK79" s="375" t="str">
        <f t="shared" si="20"/>
        <v/>
      </c>
      <c r="CL79" s="375" t="str">
        <f t="shared" si="21"/>
        <v/>
      </c>
      <c r="CM79" s="376"/>
      <c r="CN79" s="377" t="str">
        <f t="shared" si="22"/>
        <v/>
      </c>
      <c r="CO79" s="377" t="str">
        <f t="shared" si="23"/>
        <v/>
      </c>
      <c r="CP79" s="377" t="str">
        <f t="shared" si="8"/>
        <v/>
      </c>
      <c r="CS79" s="451" t="s">
        <v>119</v>
      </c>
      <c r="CT79" s="459">
        <f>SQRT((DB76*CZ76/200)^2/CT78^2)</f>
        <v>179654043.23547715</v>
      </c>
      <c r="CU79" s="451" t="s">
        <v>120</v>
      </c>
      <c r="CV79" s="459">
        <f>SQRT(((CV76*CX76)^2+(CV77*CX77)^2+(CV78*CX78)^2)/(((1/$AT$68)*CZ77*EXP(CZ77*CX79)-CZ76*CZ78*EXP(CZ78*CX79))^2))</f>
        <v>179660439.41888204</v>
      </c>
      <c r="CW79" s="460" t="s">
        <v>111</v>
      </c>
      <c r="CX79" s="459">
        <f>EC76</f>
        <v>-9866468.608379364</v>
      </c>
      <c r="CY79" s="442"/>
      <c r="CZ79" s="444"/>
      <c r="DA79" s="456"/>
      <c r="DB79" s="456"/>
      <c r="DC79" s="461">
        <f t="shared" ref="DC79:EC79" si="38">(1/$AT$68)*((EXP($CZ77*DC76)-1)/(EXP($CZ78*DC76)-1))</f>
        <v>0.16463845861471199</v>
      </c>
      <c r="DD79" s="461">
        <f t="shared" si="38"/>
        <v>2.9145066690472083E-2</v>
      </c>
      <c r="DE79" s="461">
        <f t="shared" si="38"/>
        <v>6.0667368525380162E-2</v>
      </c>
      <c r="DF79" s="461">
        <f t="shared" si="38"/>
        <v>4.0632115241750401E-2</v>
      </c>
      <c r="DG79" s="461">
        <f t="shared" si="38"/>
        <v>4.9221659532396211E-2</v>
      </c>
      <c r="DH79" s="461">
        <f t="shared" si="38"/>
        <v>4.462432914821917E-2</v>
      </c>
      <c r="DI79" s="461">
        <f t="shared" si="38"/>
        <v>4.6841258714582196E-2</v>
      </c>
      <c r="DJ79" s="461">
        <f t="shared" si="38"/>
        <v>4.5713162284920957E-2</v>
      </c>
      <c r="DK79" s="461">
        <f t="shared" si="38"/>
        <v>4.6272204943262389E-2</v>
      </c>
      <c r="DL79" s="461">
        <f t="shared" si="38"/>
        <v>4.5991444591472426E-2</v>
      </c>
      <c r="DM79" s="461">
        <f t="shared" si="38"/>
        <v>4.5851995214135612E-2</v>
      </c>
      <c r="DN79" s="461">
        <f t="shared" si="38"/>
        <v>4.5921642655967647E-2</v>
      </c>
      <c r="DO79" s="461">
        <f t="shared" si="38"/>
        <v>4.5886799647235063E-2</v>
      </c>
      <c r="DP79" s="461">
        <f t="shared" si="38"/>
        <v>4.5904216326665088E-2</v>
      </c>
      <c r="DQ79" s="461">
        <f t="shared" si="38"/>
        <v>4.589550678108844E-2</v>
      </c>
      <c r="DR79" s="461">
        <f t="shared" si="38"/>
        <v>4.5899861252363401E-2</v>
      </c>
      <c r="DS79" s="461">
        <f t="shared" si="38"/>
        <v>4.5897683941356099E-2</v>
      </c>
      <c r="DT79" s="461">
        <f t="shared" si="38"/>
        <v>4.5896595342379158E-2</v>
      </c>
      <c r="DU79" s="461">
        <f t="shared" si="38"/>
        <v>4.5896051057025294E-2</v>
      </c>
      <c r="DV79" s="461">
        <f t="shared" si="38"/>
        <v>4.5896323198525123E-2</v>
      </c>
      <c r="DW79" s="461">
        <f t="shared" si="38"/>
        <v>4.5896459270158882E-2</v>
      </c>
      <c r="DX79" s="461">
        <f t="shared" si="38"/>
        <v>4.5896527306193716E-2</v>
      </c>
      <c r="DY79" s="461">
        <f t="shared" si="38"/>
        <v>4.5896493288157904E-2</v>
      </c>
      <c r="DZ79" s="461">
        <f t="shared" si="38"/>
        <v>4.5896476279153858E-2</v>
      </c>
      <c r="EA79" s="461">
        <f t="shared" si="38"/>
        <v>4.5896484783654899E-2</v>
      </c>
      <c r="EB79" s="461">
        <f t="shared" si="38"/>
        <v>4.5896489035905805E-2</v>
      </c>
      <c r="EC79" s="461">
        <f t="shared" si="38"/>
        <v>4.5896491162030963E-2</v>
      </c>
      <c r="ED79" s="442"/>
      <c r="EE79" s="442"/>
      <c r="EF79" s="442"/>
      <c r="EG79" s="442"/>
      <c r="EH79" s="442"/>
      <c r="EI79" s="442"/>
      <c r="EJ79" s="442"/>
      <c r="EK79" s="442"/>
      <c r="EL79" s="442"/>
      <c r="EM79" s="442"/>
      <c r="EN79" s="442"/>
      <c r="EO79" s="442"/>
      <c r="EP79" s="442"/>
      <c r="EQ79" s="442"/>
      <c r="ER79" s="442"/>
      <c r="ES79" s="442"/>
      <c r="ET79" s="442"/>
      <c r="EU79" s="442"/>
      <c r="EV79" s="442"/>
      <c r="EW79" s="442"/>
      <c r="EX79" s="442"/>
      <c r="EY79" s="442"/>
      <c r="EZ79" s="442"/>
      <c r="FA79" s="442"/>
      <c r="FB79" s="442"/>
      <c r="FC79" s="442"/>
    </row>
    <row r="80" spans="1:159" ht="14" customHeight="1" thickBot="1" x14ac:dyDescent="0.2">
      <c r="A80" s="271" t="str">
        <f>AH4</f>
        <v>z6</v>
      </c>
      <c r="B80" s="287">
        <f>IF('Raw Data Input'!AH$39&lt;&gt;"",IF('Raw Data Input'!AT$56="off",'Data Reduction Engine'!AF$34,'Data Reduction Engine'!AF$44),'Data Reduction Engine'!AF$34)</f>
        <v>2583.7463140487671</v>
      </c>
      <c r="C80" s="319">
        <f>'Data Reduction Engine'!AF45</f>
        <v>0.65426651862481899</v>
      </c>
      <c r="D80" s="272">
        <f>'Data Reduction Engine'!AF46</f>
        <v>2581.1327690390635</v>
      </c>
      <c r="E80" s="289">
        <f>'Data Reduction Engine'!AF47</f>
        <v>0.83446697143171444</v>
      </c>
      <c r="F80" s="272">
        <f>IF('Raw Data Input'!AT$56="off",'Data Reduction Engine'!AF$38,'Data Reduction Engine'!AF$48)</f>
        <v>2577.8056391091877</v>
      </c>
      <c r="G80" s="289">
        <f>'Data Reduction Engine'!AF49</f>
        <v>1.194376073113105</v>
      </c>
      <c r="H80" s="317">
        <f>'Data Reduction Engine'!AF213</f>
        <v>4.6565007315762585</v>
      </c>
      <c r="I80" s="303">
        <f>'Data Reduction Engine'!AF59</f>
        <v>1847.3696657869832</v>
      </c>
      <c r="J80" s="287">
        <f t="shared" si="31"/>
        <v>396.72916902165622</v>
      </c>
      <c r="K80" s="505">
        <f>'Data Reduction Engine'!AF55</f>
        <v>0.39996361663919405</v>
      </c>
      <c r="L80" s="316">
        <f>'Data Reduction Engine'!AF222</f>
        <v>1E-3</v>
      </c>
      <c r="M80" s="314">
        <f>'Data Reduction Engine'!AF224</f>
        <v>1.0129816962847753E-3</v>
      </c>
      <c r="O80" s="657">
        <f>ABS(NORMSINV(1/(4*T61)))</f>
        <v>1.7316643961222451</v>
      </c>
      <c r="P80" s="658" t="s">
        <v>545</v>
      </c>
      <c r="Q80" s="659"/>
      <c r="R80" s="659"/>
      <c r="S80" s="659"/>
      <c r="T80" s="660"/>
      <c r="V80" s="670" t="str">
        <f t="shared" si="0"/>
        <v/>
      </c>
      <c r="W80" s="671" t="str">
        <f t="shared" si="1"/>
        <v/>
      </c>
      <c r="X80" s="672">
        <f>IF(ISERROR(F80),"",ABS(($F80-O$52)/(BS$83*SQRT(T$53))))</f>
        <v>653.29074470742</v>
      </c>
      <c r="AK80" s="258"/>
      <c r="AL80" s="540" t="s">
        <v>424</v>
      </c>
      <c r="AM80" s="576">
        <v>1.0000000002845095E-9</v>
      </c>
      <c r="AN80" s="577"/>
      <c r="AO80" s="542" t="s">
        <v>489</v>
      </c>
      <c r="AP80" s="259"/>
      <c r="AQ80" s="258"/>
      <c r="AR80" s="540" t="s">
        <v>424</v>
      </c>
      <c r="AS80" s="576">
        <v>7.6781230364494797E-10</v>
      </c>
      <c r="AT80" s="577"/>
      <c r="AU80" s="542" t="s">
        <v>489</v>
      </c>
      <c r="AV80" s="259"/>
      <c r="AW80" s="258"/>
      <c r="AX80" s="540" t="s">
        <v>424</v>
      </c>
      <c r="AY80" s="576">
        <v>1.0000000000000001E-9</v>
      </c>
      <c r="AZ80" s="577"/>
      <c r="BA80" s="542" t="s">
        <v>489</v>
      </c>
      <c r="BB80" s="259"/>
      <c r="BC80" s="258"/>
      <c r="BD80" s="540" t="s">
        <v>424</v>
      </c>
      <c r="BE80" s="578">
        <v>1.67875E-9</v>
      </c>
      <c r="BF80" s="577"/>
      <c r="BG80" s="542" t="s">
        <v>489</v>
      </c>
      <c r="BH80" s="259"/>
      <c r="BJ80" s="440"/>
      <c r="BK80" s="364" t="str">
        <f t="shared" si="11"/>
        <v/>
      </c>
      <c r="BL80" s="472" t="str">
        <f t="shared" si="2"/>
        <v/>
      </c>
      <c r="BM80" s="473" t="str">
        <f t="shared" si="3"/>
        <v/>
      </c>
      <c r="BN80" s="474"/>
      <c r="BO80" s="470" t="str">
        <f t="shared" si="4"/>
        <v/>
      </c>
      <c r="BP80" s="471" t="str">
        <f t="shared" si="5"/>
        <v/>
      </c>
      <c r="BQ80" s="468"/>
      <c r="BR80" s="470" t="str">
        <f t="shared" si="6"/>
        <v/>
      </c>
      <c r="BS80" s="471" t="str">
        <f t="shared" si="7"/>
        <v/>
      </c>
      <c r="BT80" s="369"/>
      <c r="BU80" s="370"/>
      <c r="BV80" s="371">
        <f>IF('Raw Data Input'!AT$56="off",'Data Reduction Engine'!AF$77,'Data Reduction Engine'!AF$90)</f>
        <v>0.17267548820801928</v>
      </c>
      <c r="BW80" s="372">
        <f>'Data Reduction Engine'!AF78</f>
        <v>3.9189864105975719E-2</v>
      </c>
      <c r="BX80" s="371">
        <f>'Data Reduction Engine'!AF69</f>
        <v>11.705419155231304</v>
      </c>
      <c r="BY80" s="372">
        <f>'Data Reduction Engine'!AF70</f>
        <v>8.9203371337837387E-2</v>
      </c>
      <c r="BZ80" s="371">
        <f>IF('Raw Data Input'!AT$56="off",'Data Reduction Engine'!AF$71,'Data Reduction Engine'!AF$84)</f>
        <v>0.49164882152966494</v>
      </c>
      <c r="CA80" s="372">
        <f>'Data Reduction Engine'!AF85</f>
        <v>5.6212703906386885E-2</v>
      </c>
      <c r="CB80" s="373" t="str">
        <f t="shared" si="12"/>
        <v/>
      </c>
      <c r="CC80" s="373"/>
      <c r="CD80" s="374" t="str">
        <f t="shared" si="13"/>
        <v/>
      </c>
      <c r="CE80" s="375" t="str">
        <f t="shared" si="14"/>
        <v/>
      </c>
      <c r="CF80" s="375" t="str">
        <f t="shared" si="15"/>
        <v/>
      </c>
      <c r="CG80" s="374" t="str">
        <f t="shared" si="16"/>
        <v/>
      </c>
      <c r="CH80" s="375" t="str">
        <f t="shared" si="17"/>
        <v/>
      </c>
      <c r="CI80" s="375" t="str">
        <f t="shared" si="18"/>
        <v/>
      </c>
      <c r="CJ80" s="374" t="str">
        <f t="shared" si="19"/>
        <v/>
      </c>
      <c r="CK80" s="375" t="str">
        <f t="shared" si="20"/>
        <v/>
      </c>
      <c r="CL80" s="375" t="str">
        <f t="shared" si="21"/>
        <v/>
      </c>
      <c r="CM80" s="376"/>
      <c r="CN80" s="377" t="str">
        <f t="shared" si="22"/>
        <v/>
      </c>
      <c r="CO80" s="377" t="str">
        <f t="shared" si="23"/>
        <v/>
      </c>
      <c r="CP80" s="377" t="str">
        <f t="shared" si="8"/>
        <v/>
      </c>
      <c r="CS80" s="442"/>
      <c r="CT80" s="442"/>
      <c r="CU80" s="442"/>
      <c r="CV80" s="442"/>
      <c r="CW80" s="442"/>
      <c r="CX80" s="442"/>
      <c r="CY80" s="442"/>
      <c r="CZ80" s="442"/>
      <c r="DA80" s="442"/>
      <c r="DB80" s="442"/>
      <c r="DC80" s="442"/>
      <c r="DD80" s="442"/>
      <c r="DE80" s="442"/>
      <c r="DF80" s="442"/>
      <c r="DG80" s="442"/>
      <c r="DH80" s="442"/>
      <c r="DI80" s="442"/>
      <c r="DJ80" s="442"/>
      <c r="DK80" s="442"/>
      <c r="DL80" s="442"/>
      <c r="DM80" s="442"/>
      <c r="DN80" s="442"/>
      <c r="DO80" s="442"/>
      <c r="DP80" s="442"/>
      <c r="DQ80" s="442"/>
      <c r="DR80" s="442"/>
      <c r="DS80" s="442"/>
      <c r="DT80" s="442"/>
      <c r="DU80" s="442"/>
      <c r="DV80" s="442"/>
      <c r="DW80" s="442"/>
      <c r="DX80" s="442"/>
      <c r="DY80" s="442"/>
      <c r="DZ80" s="442"/>
      <c r="EA80" s="442"/>
      <c r="EB80" s="442"/>
      <c r="EC80" s="442"/>
      <c r="ED80" s="442"/>
      <c r="EE80" s="442"/>
      <c r="EF80" s="442"/>
      <c r="EG80" s="442"/>
      <c r="EH80" s="442"/>
      <c r="EI80" s="442"/>
      <c r="EJ80" s="442"/>
      <c r="EK80" s="442"/>
      <c r="EL80" s="442"/>
      <c r="EM80" s="442"/>
      <c r="EN80" s="442"/>
      <c r="EO80" s="442"/>
      <c r="EP80" s="442"/>
      <c r="EQ80" s="442"/>
      <c r="ER80" s="442"/>
      <c r="ES80" s="442"/>
      <c r="ET80" s="442"/>
      <c r="EU80" s="442"/>
      <c r="EV80" s="442"/>
      <c r="EW80" s="442"/>
      <c r="EX80" s="442"/>
      <c r="EY80" s="442"/>
      <c r="EZ80" s="442"/>
      <c r="FA80" s="442"/>
      <c r="FB80" s="442"/>
      <c r="FC80" s="442"/>
    </row>
    <row r="81" spans="1:128" ht="14" customHeight="1" x14ac:dyDescent="0.15">
      <c r="A81"/>
      <c r="B81"/>
      <c r="C81"/>
      <c r="D81"/>
      <c r="E81"/>
      <c r="F81"/>
      <c r="G81"/>
      <c r="H81"/>
      <c r="I81"/>
      <c r="J81"/>
      <c r="K81"/>
      <c r="L81"/>
      <c r="V81" s="673" t="s">
        <v>550</v>
      </c>
      <c r="AK81" s="258"/>
      <c r="AL81" s="540" t="s">
        <v>425</v>
      </c>
      <c r="AM81" s="576"/>
      <c r="AN81" s="579"/>
      <c r="AO81" s="542" t="s">
        <v>537</v>
      </c>
      <c r="AP81" s="259"/>
      <c r="AQ81" s="258"/>
      <c r="AR81" s="540" t="s">
        <v>425</v>
      </c>
      <c r="AS81" s="576"/>
      <c r="AT81" s="579"/>
      <c r="AU81" s="542" t="s">
        <v>537</v>
      </c>
      <c r="AV81" s="259"/>
      <c r="AW81" s="258"/>
      <c r="AX81" s="540" t="s">
        <v>425</v>
      </c>
      <c r="AY81" s="581">
        <v>0.99923912805608495</v>
      </c>
      <c r="AZ81" s="579">
        <v>2.657E-2</v>
      </c>
      <c r="BA81" s="542" t="s">
        <v>537</v>
      </c>
      <c r="BB81" s="259"/>
      <c r="BC81" s="258"/>
      <c r="BD81" s="540" t="s">
        <v>425</v>
      </c>
      <c r="BE81" s="580"/>
      <c r="BF81" s="579"/>
      <c r="BG81" s="542" t="s">
        <v>537</v>
      </c>
      <c r="BH81" s="259"/>
      <c r="BJ81" s="464" t="s">
        <v>49</v>
      </c>
      <c r="BK81" s="392">
        <f>COUNT(BL51:BL80)</f>
        <v>6</v>
      </c>
      <c r="BL81" s="791" t="s">
        <v>50</v>
      </c>
      <c r="BM81" s="791"/>
      <c r="BN81" s="791"/>
      <c r="BO81" s="791"/>
      <c r="BP81" s="791"/>
      <c r="BQ81" s="791"/>
      <c r="BR81" s="791"/>
      <c r="BS81" s="791"/>
      <c r="BT81" s="791"/>
      <c r="BU81" s="370"/>
      <c r="BV81" s="394"/>
      <c r="BW81" s="395"/>
      <c r="BX81" s="394"/>
      <c r="BY81" s="395"/>
      <c r="BZ81" s="396"/>
      <c r="CA81" s="395"/>
      <c r="CB81" s="373"/>
      <c r="CC81" s="373"/>
      <c r="CD81" s="374"/>
      <c r="CE81" s="375"/>
      <c r="CF81" s="375"/>
      <c r="CG81" s="374"/>
      <c r="CH81" s="375"/>
      <c r="CI81" s="375"/>
      <c r="CJ81" s="374"/>
      <c r="CK81" s="375"/>
      <c r="CL81" s="375"/>
      <c r="CM81" s="376"/>
      <c r="CN81" s="375"/>
      <c r="CO81" s="375"/>
      <c r="CP81" s="376"/>
      <c r="CS81" s="463" t="s">
        <v>16</v>
      </c>
      <c r="DX81" s="442"/>
    </row>
    <row r="82" spans="1:128" ht="14" customHeight="1" x14ac:dyDescent="0.15">
      <c r="V82" s="673" t="s">
        <v>551</v>
      </c>
      <c r="AK82" s="258"/>
      <c r="AL82" s="540" t="s">
        <v>426</v>
      </c>
      <c r="AM82" s="601">
        <v>4.7815756837100428E-4</v>
      </c>
      <c r="AN82" s="570">
        <v>6.6109033999999997E-2</v>
      </c>
      <c r="AO82" s="542" t="s">
        <v>537</v>
      </c>
      <c r="AP82" s="259"/>
      <c r="AQ82" s="258"/>
      <c r="AR82" s="540" t="s">
        <v>426</v>
      </c>
      <c r="AS82" s="576">
        <v>4.2801578411821896E-3</v>
      </c>
      <c r="AT82" s="570">
        <v>2.3259999999999999E-2</v>
      </c>
      <c r="AU82" s="542" t="s">
        <v>537</v>
      </c>
      <c r="AV82" s="259"/>
      <c r="AW82" s="258"/>
      <c r="AX82" s="540" t="s">
        <v>426</v>
      </c>
      <c r="AY82" s="576">
        <v>7.4722693021844007E-4</v>
      </c>
      <c r="AZ82" s="570">
        <v>6.6109033999999997E-2</v>
      </c>
      <c r="BA82" s="542" t="s">
        <v>537</v>
      </c>
      <c r="BB82" s="259"/>
      <c r="BC82" s="258"/>
      <c r="BD82" s="540" t="s">
        <v>426</v>
      </c>
      <c r="BE82" s="580">
        <v>5.277441769711802E-2</v>
      </c>
      <c r="BF82" s="570">
        <v>0.02</v>
      </c>
      <c r="BG82" s="542" t="s">
        <v>537</v>
      </c>
      <c r="BH82" s="259"/>
      <c r="BJ82" s="397" t="s">
        <v>51</v>
      </c>
      <c r="BK82" s="398"/>
      <c r="BL82" s="393" t="s">
        <v>52</v>
      </c>
      <c r="BM82" s="399">
        <f>CN83/(BK81-1)</f>
        <v>0.94347551291439624</v>
      </c>
      <c r="BN82" s="393" t="s">
        <v>121</v>
      </c>
      <c r="BO82" s="393" t="s">
        <v>52</v>
      </c>
      <c r="BP82" s="399">
        <f>CO83/(BK81-1)</f>
        <v>1.0937622257680775</v>
      </c>
      <c r="BQ82" s="393" t="s">
        <v>121</v>
      </c>
      <c r="BR82" s="393" t="s">
        <v>52</v>
      </c>
      <c r="BS82" s="465">
        <f>CP83/(BK81-1)</f>
        <v>1.8904483716594427</v>
      </c>
      <c r="BT82" s="393" t="s">
        <v>121</v>
      </c>
      <c r="BU82" s="370"/>
      <c r="BV82" s="400" t="s">
        <v>53</v>
      </c>
      <c r="BW82" s="400"/>
      <c r="BX82" s="400"/>
      <c r="BY82" s="400"/>
      <c r="BZ82" s="400"/>
      <c r="CA82" s="400"/>
      <c r="CB82" s="400"/>
      <c r="CC82" s="389"/>
      <c r="CD82" s="390"/>
      <c r="CE82" s="401" t="s">
        <v>54</v>
      </c>
      <c r="CF82" s="391"/>
      <c r="CG82" s="390"/>
      <c r="CH82" s="401" t="s">
        <v>54</v>
      </c>
      <c r="CI82" s="391"/>
      <c r="CJ82" s="390"/>
      <c r="CK82" s="401" t="s">
        <v>54</v>
      </c>
      <c r="CL82" s="391"/>
      <c r="CM82" s="328"/>
      <c r="CN82" s="329"/>
      <c r="CO82" s="329"/>
      <c r="CP82" s="329"/>
      <c r="CS82" s="444"/>
      <c r="CT82" s="445" t="s">
        <v>107</v>
      </c>
      <c r="CU82" s="445"/>
      <c r="CV82" s="445" t="s">
        <v>108</v>
      </c>
      <c r="CW82" s="445"/>
      <c r="CX82" s="445"/>
      <c r="CY82" s="446"/>
      <c r="CZ82" s="444"/>
      <c r="DA82" s="444"/>
      <c r="DB82" s="444"/>
      <c r="DX82" s="329"/>
    </row>
    <row r="83" spans="1:128" ht="14" customHeight="1" x14ac:dyDescent="0.15">
      <c r="V83" s="673" t="s">
        <v>552</v>
      </c>
      <c r="AK83" s="258"/>
      <c r="AL83" s="540" t="s">
        <v>427</v>
      </c>
      <c r="AM83" s="601">
        <v>3.4217101037897974E-4</v>
      </c>
      <c r="AN83" s="570">
        <v>0.122432517344936</v>
      </c>
      <c r="AO83" s="542" t="s">
        <v>537</v>
      </c>
      <c r="AP83" s="259"/>
      <c r="AQ83" s="258"/>
      <c r="AR83" s="540" t="s">
        <v>427</v>
      </c>
      <c r="AS83" s="576">
        <v>3.8023121282134602E-3</v>
      </c>
      <c r="AT83" s="570">
        <v>3.2175000000000002E-2</v>
      </c>
      <c r="AU83" s="542" t="s">
        <v>537</v>
      </c>
      <c r="AV83" s="259"/>
      <c r="AW83" s="258"/>
      <c r="AX83" s="540" t="s">
        <v>427</v>
      </c>
      <c r="AY83" s="576">
        <v>6.5166558681610965E-4</v>
      </c>
      <c r="AZ83" s="570">
        <v>0.122432517344936</v>
      </c>
      <c r="BA83" s="542" t="s">
        <v>537</v>
      </c>
      <c r="BB83" s="259"/>
      <c r="BC83" s="258"/>
      <c r="BD83" s="540" t="s">
        <v>427</v>
      </c>
      <c r="BE83" s="580">
        <v>3.8227582681739169E-4</v>
      </c>
      <c r="BF83" s="570">
        <v>0.03</v>
      </c>
      <c r="BG83" s="542" t="s">
        <v>537</v>
      </c>
      <c r="BH83" s="259"/>
      <c r="BJ83" s="402" t="s">
        <v>55</v>
      </c>
      <c r="BK83" s="403" t="s">
        <v>56</v>
      </c>
      <c r="BL83" s="404">
        <f>CX65/1000000</f>
        <v>-7.8181549906730652</v>
      </c>
      <c r="BM83" s="405">
        <f>2*CT65/1000000</f>
        <v>359.53119379603424</v>
      </c>
      <c r="BN83" s="406">
        <f>2*CT72/1000000</f>
        <v>359.53119379603424</v>
      </c>
      <c r="BO83" s="404">
        <f>(LN(BX83+1))/($AT$64*1000000)</f>
        <v>86.045486691685838</v>
      </c>
      <c r="BP83" s="405">
        <f>((1/($AT$64*1000000))*(((BY83*BX83)/100)/(BX83+1)))</f>
        <v>12.360423010433596</v>
      </c>
      <c r="BQ83" s="535">
        <f>IF(BP82&gt;1,(((BP83/2)*TINV(0.05,$BK81-1)*SQRT(BP82))),BP83)</f>
        <v>16.614842655557101</v>
      </c>
      <c r="BR83" s="493">
        <f>(LN(BZ83+1))/($AT$65*1000000)</f>
        <v>89.187557213971644</v>
      </c>
      <c r="BS83" s="494">
        <f>((1/$AT$65)*(((CA83*BZ83)/100)/(BZ83+1)))/1000000</f>
        <v>1.555163739547833</v>
      </c>
      <c r="BT83" s="535">
        <f>IF(BS82&gt;1,(((BS83/2)*TINV(0.05,$BK81-1)*SQRT(BS82))),BS83)</f>
        <v>2.7482736311421556</v>
      </c>
      <c r="BU83" s="407" t="s">
        <v>56</v>
      </c>
      <c r="BV83" s="408">
        <f>SUM(CF51:CF80)/SUM(CE51:CE80)</f>
        <v>4.5896489526701667E-2</v>
      </c>
      <c r="BW83" s="409">
        <f>(CD83/BV83)*100</f>
        <v>14.893444462924116</v>
      </c>
      <c r="BX83" s="408">
        <f>SUM(CI51:CI80)/SUM(CH51:CH80)</f>
        <v>8.8436102436397435E-2</v>
      </c>
      <c r="BY83" s="409">
        <f>(CG83/BX83)*100</f>
        <v>14.982240613989726</v>
      </c>
      <c r="BZ83" s="410">
        <f>SUM(CL51:CL80)/SUM(CK51:CK80)</f>
        <v>1.3931369371509926E-2</v>
      </c>
      <c r="CA83" s="409">
        <f>(CJ83/BZ83)*100</f>
        <v>1.7557903939322124</v>
      </c>
      <c r="CB83" s="411"/>
      <c r="CC83" s="411"/>
      <c r="CD83" s="410">
        <f>2*SQRT(1/SUM(CE51:CE80))</f>
        <v>6.8355681780910968E-3</v>
      </c>
      <c r="CE83" s="412">
        <f>IF($BM82&gt;1,(((CD83/2)*TINV(0.05,$BK81-1)*SQRT($BM82))),CD83)</f>
        <v>6.8355681780910968E-3</v>
      </c>
      <c r="CF83" s="391"/>
      <c r="CG83" s="410">
        <f>2*SQRT(1/SUM(CH51:CH80))</f>
        <v>1.3249709656655494E-2</v>
      </c>
      <c r="CH83" s="412">
        <f>IF($BP82&gt;1,(((CG83/2)*TINV(0.26,$BK81-1)*SQRT($BP82))*2),CG83)</f>
        <v>1.759735518971102E-2</v>
      </c>
      <c r="CI83" s="391"/>
      <c r="CJ83" s="410">
        <f>2*SQRT(1/SUM(CK51:CK80))</f>
        <v>2.446056451681857E-4</v>
      </c>
      <c r="CK83" s="412">
        <f>IF($BS82&gt;1,(((CJ83/2)*TINV(0.1,$BK81-1)*SQRT($BS82))*2),CJ83)</f>
        <v>6.7769512672041625E-4</v>
      </c>
      <c r="CL83" s="391"/>
      <c r="CM83" s="376"/>
      <c r="CN83" s="377">
        <f>SUM(CN51:CN80)</f>
        <v>4.7173775645719811</v>
      </c>
      <c r="CO83" s="377">
        <f>SUM(CO51:CO80)</f>
        <v>5.4688111288403878</v>
      </c>
      <c r="CP83" s="377">
        <f>SUM(CP51:CP80)</f>
        <v>9.4522418582972136</v>
      </c>
      <c r="CS83" s="450" t="s">
        <v>382</v>
      </c>
      <c r="CT83" s="444">
        <f>((1/$AT$68)*CZ84*EXP(CZ84*CX86))/(EXP(CZ85*CX86)-1)</f>
        <v>-4.6291815864673546E-9</v>
      </c>
      <c r="CU83" s="448" t="s">
        <v>384</v>
      </c>
      <c r="CV83" s="449">
        <f>EXP(CZ85*CX86)-1</f>
        <v>-1.5293652700670846E-3</v>
      </c>
      <c r="CW83" s="451" t="s">
        <v>112</v>
      </c>
      <c r="CX83" s="444">
        <f>DB83*CZ83/200</f>
        <v>3.4177840890455479E-3</v>
      </c>
      <c r="CY83" s="448" t="s">
        <v>96</v>
      </c>
      <c r="CZ83" s="452">
        <f>BV83</f>
        <v>4.5896489526701667E-2</v>
      </c>
      <c r="DA83" s="448" t="s">
        <v>113</v>
      </c>
      <c r="DB83" s="453">
        <f>(CE83/BV83)*100</f>
        <v>14.893444462924116</v>
      </c>
      <c r="DX83" s="370"/>
    </row>
    <row r="84" spans="1:128" ht="14" customHeight="1" x14ac:dyDescent="0.15">
      <c r="AK84" s="258"/>
      <c r="AL84" s="540" t="s">
        <v>428</v>
      </c>
      <c r="AM84" s="601">
        <v>8.9317765716676764E-5</v>
      </c>
      <c r="AN84" s="570">
        <v>0.14238000497828779</v>
      </c>
      <c r="AO84" s="542" t="s">
        <v>537</v>
      </c>
      <c r="AP84" s="259"/>
      <c r="AQ84" s="258"/>
      <c r="AR84" s="540" t="s">
        <v>428</v>
      </c>
      <c r="AS84" s="576">
        <v>2.8644243756331E-4</v>
      </c>
      <c r="AT84" s="570">
        <v>9.7559999999999994E-2</v>
      </c>
      <c r="AU84" s="542" t="s">
        <v>537</v>
      </c>
      <c r="AV84" s="259"/>
      <c r="AW84" s="258"/>
      <c r="AX84" s="540" t="s">
        <v>428</v>
      </c>
      <c r="AY84" s="576">
        <v>1.1800557300536978E-4</v>
      </c>
      <c r="AZ84" s="570">
        <v>0.14238000497828779</v>
      </c>
      <c r="BA84" s="542" t="s">
        <v>537</v>
      </c>
      <c r="BB84" s="259"/>
      <c r="BC84" s="258"/>
      <c r="BD84" s="540" t="s">
        <v>428</v>
      </c>
      <c r="BE84" s="580">
        <v>2.5840947332044986E-5</v>
      </c>
      <c r="BF84" s="570">
        <v>0.1</v>
      </c>
      <c r="BG84" s="542" t="s">
        <v>537</v>
      </c>
      <c r="BH84" s="259"/>
      <c r="BJ84" s="413"/>
      <c r="BK84" s="403" t="s">
        <v>57</v>
      </c>
      <c r="BL84" s="404">
        <f>BL83</f>
        <v>-7.8181549906730652</v>
      </c>
      <c r="BM84" s="405">
        <f>2*CV65/1000000</f>
        <v>359.55057140253643</v>
      </c>
      <c r="BN84" s="406">
        <f>2*CV72/1000000</f>
        <v>359.55057140253643</v>
      </c>
      <c r="BO84" s="414">
        <f>(LN(BX84+1))/($AT$64*1000000)</f>
        <v>86.045486691685838</v>
      </c>
      <c r="BP84" s="415">
        <f>((1/($AT$64*1000000))*(((BY84*BX84)/100)/(BX84+1)))</f>
        <v>4.1250248640687319E-2</v>
      </c>
      <c r="BQ84" s="415"/>
      <c r="BR84" s="495">
        <f>(LN(BZ84+1))/($AT$65*1000000)</f>
        <v>89.187557213971644</v>
      </c>
      <c r="BS84" s="411">
        <f>((1/$AT$65)*(((CA84*BZ84)/100)/(BZ84+1)))/1000000</f>
        <v>4.4286713975719455E-2</v>
      </c>
      <c r="BT84" s="415"/>
      <c r="BU84" s="407" t="s">
        <v>58</v>
      </c>
      <c r="BV84" s="416">
        <f>BV83</f>
        <v>4.5896489526701667E-2</v>
      </c>
      <c r="BW84" s="417">
        <v>0</v>
      </c>
      <c r="BX84" s="416">
        <f>BX83</f>
        <v>8.8436102436397435E-2</v>
      </c>
      <c r="BY84" s="417">
        <v>0.05</v>
      </c>
      <c r="BZ84" s="418">
        <f>BZ83</f>
        <v>1.3931369371509926E-2</v>
      </c>
      <c r="CA84" s="417">
        <v>0.05</v>
      </c>
      <c r="CB84" s="411"/>
      <c r="CC84" s="411"/>
      <c r="CD84" s="418">
        <f>(BW84/100)*BV84</f>
        <v>0</v>
      </c>
      <c r="CE84" s="412">
        <f>CD84</f>
        <v>0</v>
      </c>
      <c r="CF84" s="391"/>
      <c r="CG84" s="418">
        <f>(BY84/100)*BX84</f>
        <v>4.4218051218198718E-5</v>
      </c>
      <c r="CH84" s="412">
        <f>CG84</f>
        <v>4.4218051218198718E-5</v>
      </c>
      <c r="CI84" s="391"/>
      <c r="CJ84" s="418">
        <f>(CA84/100)*BZ84</f>
        <v>6.9656846857549633E-6</v>
      </c>
      <c r="CK84" s="412">
        <f>CJ84</f>
        <v>6.9656846857549633E-6</v>
      </c>
      <c r="CL84" s="419"/>
      <c r="CM84" s="328"/>
      <c r="CN84" s="477"/>
      <c r="CO84" s="477"/>
      <c r="CP84" s="477"/>
      <c r="CS84" s="450" t="s">
        <v>383</v>
      </c>
      <c r="CT84" s="444">
        <f>((1/$AT$68)*(EXP(CZ84*CX86)-1)*CZ85*EXP(CZ85*CX86))/((EXP(CZ85*CX86)-1)^2)</f>
        <v>-4.6482058401245115E-9</v>
      </c>
      <c r="CU84" s="448" t="s">
        <v>109</v>
      </c>
      <c r="CV84" s="449">
        <f>(1/$AT$68)*CX86*EXP(CZ84*CX86)</f>
        <v>-70865.82191527533</v>
      </c>
      <c r="CW84" s="451" t="s">
        <v>114</v>
      </c>
      <c r="CX84" s="444">
        <f>DB84*CZ84/200</f>
        <v>8.3783650000000009E-14</v>
      </c>
      <c r="CY84" s="455" t="s">
        <v>115</v>
      </c>
      <c r="CZ84" s="456">
        <v>9.8568999999999993E-10</v>
      </c>
      <c r="DA84" s="457" t="s">
        <v>116</v>
      </c>
      <c r="DB84" s="453">
        <v>1.7000000000000001E-2</v>
      </c>
      <c r="DX84" s="370"/>
    </row>
    <row r="85" spans="1:128" ht="14" customHeight="1" x14ac:dyDescent="0.15">
      <c r="AK85" s="258"/>
      <c r="AL85" s="540" t="s">
        <v>429</v>
      </c>
      <c r="AM85" s="601">
        <v>8.8005171041215594E-4</v>
      </c>
      <c r="AN85" s="570">
        <v>0.1611039883397542</v>
      </c>
      <c r="AO85" s="542" t="s">
        <v>537</v>
      </c>
      <c r="AP85" s="259"/>
      <c r="AQ85" s="258"/>
      <c r="AR85" s="540" t="s">
        <v>429</v>
      </c>
      <c r="AS85" s="576">
        <v>9.0588000000000005E-3</v>
      </c>
      <c r="AT85" s="570">
        <v>2.4549999999999999E-2</v>
      </c>
      <c r="AU85" s="542" t="s">
        <v>537</v>
      </c>
      <c r="AV85" s="259"/>
      <c r="AW85" s="258"/>
      <c r="AX85" s="540" t="s">
        <v>429</v>
      </c>
      <c r="AY85" s="576">
        <v>1.5686606158324355E-3</v>
      </c>
      <c r="AZ85" s="570">
        <v>0.1611039883397542</v>
      </c>
      <c r="BA85" s="542" t="s">
        <v>537</v>
      </c>
      <c r="BB85" s="259"/>
      <c r="BC85" s="258"/>
      <c r="BD85" s="540" t="s">
        <v>429</v>
      </c>
      <c r="BE85" s="580">
        <v>8.3528015209880652E-4</v>
      </c>
      <c r="BF85" s="570">
        <v>0.03</v>
      </c>
      <c r="BG85" s="542" t="s">
        <v>537</v>
      </c>
      <c r="BH85" s="259"/>
      <c r="BJ85" s="402"/>
      <c r="BK85" s="403"/>
      <c r="BL85" s="420"/>
      <c r="BM85" s="421"/>
      <c r="BN85" s="421"/>
      <c r="BO85" s="404">
        <f>(LN(BX85+1))/($AT$64*1000000)</f>
        <v>86.045486691685838</v>
      </c>
      <c r="BP85" s="405">
        <f>((1/($AT$64*1000000))*(((BY85*BX85)/100)/(BX85+1)))</f>
        <v>12.360491842150509</v>
      </c>
      <c r="BQ85" s="406">
        <f>SQRT(BQ83^2+BP84^2)</f>
        <v>16.614893862192819</v>
      </c>
      <c r="BR85" s="493">
        <f>(LN(BZ85+1))/($AT$65*1000000)</f>
        <v>89.187557213971644</v>
      </c>
      <c r="BS85" s="496">
        <f>((1/$AT$65)*(((CA85*BZ85)/100)/(BZ85+1)))/1000000</f>
        <v>1.5557941926357639</v>
      </c>
      <c r="BT85" s="535">
        <f>SQRT(BT83^2+BS84^2)</f>
        <v>2.7486304343556367</v>
      </c>
      <c r="BU85" s="407" t="s">
        <v>59</v>
      </c>
      <c r="BV85" s="416">
        <f>BV84</f>
        <v>4.5896489526701667E-2</v>
      </c>
      <c r="BW85" s="422">
        <f>(CD85/BV85)*100</f>
        <v>14.893444462924116</v>
      </c>
      <c r="BX85" s="416">
        <f>BX84</f>
        <v>8.8436102436397435E-2</v>
      </c>
      <c r="BY85" s="422">
        <f>(CG85/BX85)*100</f>
        <v>14.982324045870962</v>
      </c>
      <c r="BZ85" s="418">
        <f>BZ83</f>
        <v>1.3931369371509926E-2</v>
      </c>
      <c r="CA85" s="422">
        <f>(CJ85/BZ85)*100</f>
        <v>1.7565021797380822</v>
      </c>
      <c r="CB85" s="411"/>
      <c r="CC85" s="411"/>
      <c r="CD85" s="418">
        <f>SQRT(CD83^2+CD84^2)</f>
        <v>6.8355681780910968E-3</v>
      </c>
      <c r="CE85" s="412">
        <f>SQRT(CE83^2+CE84^2)</f>
        <v>6.8355681780910968E-3</v>
      </c>
      <c r="CF85" s="391"/>
      <c r="CG85" s="418">
        <f>SQRT(CG83^2+CG84^2)</f>
        <v>1.3249783440559449E-2</v>
      </c>
      <c r="CH85" s="412">
        <f>SQRT(CH83^2+CH84^2)</f>
        <v>1.7597410744450526E-2</v>
      </c>
      <c r="CI85" s="391"/>
      <c r="CJ85" s="418">
        <f>SQRT(CJ83^2+CJ84^2)</f>
        <v>2.4470480667793538E-4</v>
      </c>
      <c r="CK85" s="412">
        <f>SQRT(CK83^2+CK84^2)</f>
        <v>6.7773092414596405E-4</v>
      </c>
      <c r="CL85" s="419"/>
      <c r="CM85" s="328"/>
      <c r="CN85" s="477"/>
      <c r="CO85" s="477"/>
      <c r="CP85" s="477"/>
      <c r="CS85" s="450" t="s">
        <v>384</v>
      </c>
      <c r="CT85" s="444">
        <f>CT83-CT84</f>
        <v>1.902425365715689E-11</v>
      </c>
      <c r="CU85" s="448" t="s">
        <v>110</v>
      </c>
      <c r="CV85" s="449">
        <f>CZ83*CX86*EXP(CZ85*CX86)</f>
        <v>-452143.72108083201</v>
      </c>
      <c r="CW85" s="451" t="s">
        <v>117</v>
      </c>
      <c r="CX85" s="444">
        <f>DB85*CZ85/200</f>
        <v>8.3767499999999989E-14</v>
      </c>
      <c r="CY85" s="455" t="s">
        <v>118</v>
      </c>
      <c r="CZ85" s="456">
        <f>AT65</f>
        <v>1.5512499999999999E-10</v>
      </c>
      <c r="DA85" s="457" t="s">
        <v>116</v>
      </c>
      <c r="DB85" s="458">
        <v>0.108</v>
      </c>
      <c r="DX85" s="370"/>
    </row>
    <row r="86" spans="1:128" ht="14" customHeight="1" x14ac:dyDescent="0.15">
      <c r="AK86" s="258"/>
      <c r="AL86" s="540" t="s">
        <v>182</v>
      </c>
      <c r="AM86" s="601">
        <v>0.7156030417853555</v>
      </c>
      <c r="AN86" s="570">
        <v>0.10305006999999999</v>
      </c>
      <c r="AO86" s="542" t="s">
        <v>537</v>
      </c>
      <c r="AP86" s="259"/>
      <c r="AQ86" s="258"/>
      <c r="AR86" s="540" t="s">
        <v>182</v>
      </c>
      <c r="AS86" s="576">
        <f>AS83/AS82</f>
        <v>0.88835792260484781</v>
      </c>
      <c r="AT86" s="570">
        <v>2.4549999999999999E-2</v>
      </c>
      <c r="AU86" s="542" t="s">
        <v>537</v>
      </c>
      <c r="AV86" s="259"/>
      <c r="AW86" s="258"/>
      <c r="AX86" s="540" t="s">
        <v>182</v>
      </c>
      <c r="AY86" s="576">
        <v>0.87211201906976965</v>
      </c>
      <c r="AZ86" s="570">
        <v>0.10305006999999999</v>
      </c>
      <c r="BA86" s="542" t="s">
        <v>537</v>
      </c>
      <c r="BB86" s="259"/>
      <c r="BC86" s="258"/>
      <c r="BD86" s="540" t="s">
        <v>182</v>
      </c>
      <c r="BE86" s="580">
        <f>BE83/BE82</f>
        <v>7.2435820895522173E-3</v>
      </c>
      <c r="BF86" s="570">
        <v>0.02</v>
      </c>
      <c r="BG86" s="542" t="s">
        <v>537</v>
      </c>
      <c r="BH86" s="259"/>
      <c r="BJ86" s="402" t="s">
        <v>60</v>
      </c>
      <c r="BK86" s="403" t="s">
        <v>56</v>
      </c>
      <c r="BL86" s="404">
        <f>CX79/1000000</f>
        <v>-9.866468608379364</v>
      </c>
      <c r="BM86" s="405">
        <f>2*CT79/1000000</f>
        <v>359.30808647095432</v>
      </c>
      <c r="BN86" s="406">
        <f>2*CT86/1000000</f>
        <v>359.30808647095432</v>
      </c>
      <c r="BO86" s="414">
        <f>(LN(BX86+1))/($AT$64*1000000)</f>
        <v>86.045486691685838</v>
      </c>
      <c r="BP86" s="415">
        <f>((1/($AT$64*1000000))*(((BY86*BX86)/100)/(BX86+1)))</f>
        <v>0.11220067630266951</v>
      </c>
      <c r="BQ86" s="415"/>
      <c r="BR86" s="495">
        <f>(LN(BZ86+1))/($AT$65*1000000)</f>
        <v>89.187557213971644</v>
      </c>
      <c r="BS86" s="411">
        <f>((1/$AT$65)*(((CA86*BZ86)/100)/(BZ86+1)))/1000000</f>
        <v>9.5659302187554002E-2</v>
      </c>
      <c r="BT86" s="415"/>
      <c r="BU86" s="407" t="s">
        <v>61</v>
      </c>
      <c r="BV86" s="416">
        <f>BV85</f>
        <v>4.5896489526701667E-2</v>
      </c>
      <c r="BW86" s="417">
        <v>0</v>
      </c>
      <c r="BX86" s="416">
        <f>BX85</f>
        <v>8.8436102436397435E-2</v>
      </c>
      <c r="BY86" s="417">
        <v>0.13600000000000001</v>
      </c>
      <c r="BZ86" s="418">
        <f>BZ83</f>
        <v>1.3931369371509926E-2</v>
      </c>
      <c r="CA86" s="417">
        <f>0.108</f>
        <v>0.108</v>
      </c>
      <c r="CB86" s="411"/>
      <c r="CC86" s="411"/>
      <c r="CD86" s="418">
        <f>(BW86/100)*BV86</f>
        <v>0</v>
      </c>
      <c r="CE86" s="412">
        <f>CD86</f>
        <v>0</v>
      </c>
      <c r="CF86" s="391"/>
      <c r="CG86" s="418">
        <f>(BY86/100)*BX86</f>
        <v>1.2027309931350052E-4</v>
      </c>
      <c r="CH86" s="412">
        <f>CG86</f>
        <v>1.2027309931350052E-4</v>
      </c>
      <c r="CI86" s="391"/>
      <c r="CJ86" s="418">
        <f>(CA86/100)*BZ86</f>
        <v>1.504587892123072E-5</v>
      </c>
      <c r="CK86" s="412">
        <f>CJ86</f>
        <v>1.504587892123072E-5</v>
      </c>
      <c r="CL86" s="419"/>
      <c r="CM86" s="328"/>
      <c r="CN86" s="391"/>
      <c r="CO86" s="391"/>
      <c r="CP86" s="328"/>
      <c r="CS86" s="451" t="s">
        <v>119</v>
      </c>
      <c r="CT86" s="459">
        <f>SQRT((DB83*CZ83/200)^2/CT85^2)</f>
        <v>179654043.23547715</v>
      </c>
      <c r="CU86" s="451" t="s">
        <v>120</v>
      </c>
      <c r="CV86" s="459">
        <f>SQRT(((CV83*CX83)^2+(CV84*CX84)^2+(CV85*CX85)^2)/(((1/$AT$68)*CZ84*EXP(CZ84*CX86)-CZ83*CZ85*EXP(CZ85*CX86))^2))</f>
        <v>179660439.41888204</v>
      </c>
      <c r="CW86" s="460" t="s">
        <v>111</v>
      </c>
      <c r="CX86" s="459">
        <f>EC76</f>
        <v>-9866468.608379364</v>
      </c>
      <c r="CY86" s="442"/>
      <c r="CZ86" s="444"/>
      <c r="DA86" s="456"/>
      <c r="DB86" s="456"/>
      <c r="DX86" s="370"/>
    </row>
    <row r="87" spans="1:128" ht="14" customHeight="1" x14ac:dyDescent="0.15">
      <c r="AK87" s="258"/>
      <c r="AL87" s="540" t="s">
        <v>192</v>
      </c>
      <c r="AM87" s="601">
        <v>0.18679567495076177</v>
      </c>
      <c r="AN87" s="570">
        <v>0.12610178999999999</v>
      </c>
      <c r="AO87" s="542" t="s">
        <v>537</v>
      </c>
      <c r="AP87" s="259"/>
      <c r="AQ87" s="258"/>
      <c r="AR87" s="540" t="s">
        <v>192</v>
      </c>
      <c r="AS87" s="576">
        <f>AS84/AS82</f>
        <v>6.6923335117985733E-2</v>
      </c>
      <c r="AT87" s="570">
        <v>5.91E-2</v>
      </c>
      <c r="AU87" s="542" t="s">
        <v>537</v>
      </c>
      <c r="AV87" s="259"/>
      <c r="AW87" s="258"/>
      <c r="AX87" s="540" t="s">
        <v>192</v>
      </c>
      <c r="AY87" s="576">
        <v>0.15792467888017991</v>
      </c>
      <c r="AZ87" s="570">
        <v>0.12610178999999999</v>
      </c>
      <c r="BA87" s="542" t="s">
        <v>537</v>
      </c>
      <c r="BB87" s="259"/>
      <c r="BC87" s="258"/>
      <c r="BD87" s="540" t="s">
        <v>192</v>
      </c>
      <c r="BE87" s="580">
        <f>BE84/BE82</f>
        <v>4.8964912280701769E-4</v>
      </c>
      <c r="BF87" s="570">
        <v>0.06</v>
      </c>
      <c r="BG87" s="542" t="s">
        <v>537</v>
      </c>
      <c r="BH87" s="259"/>
      <c r="BJ87" s="329"/>
      <c r="BK87" s="423" t="s">
        <v>57</v>
      </c>
      <c r="BL87" s="424">
        <f>BL86</f>
        <v>-9.866468608379364</v>
      </c>
      <c r="BM87" s="425">
        <f>2*CV79/1000000</f>
        <v>359.3208788377641</v>
      </c>
      <c r="BN87" s="406">
        <f>2*CV86/1000000</f>
        <v>359.3208788377641</v>
      </c>
      <c r="BO87" s="426">
        <f>(LN(BX87+1))/($AT$64*1000000)</f>
        <v>86.045486691685838</v>
      </c>
      <c r="BP87" s="427">
        <f>((1/($AT$64*1000000))*(((BY87*BX87)/100)/(BX87+1)))</f>
        <v>12.361001074817207</v>
      </c>
      <c r="BQ87" s="428">
        <f>SQRT(BQ85^2+BP86^2)</f>
        <v>16.615272704463667</v>
      </c>
      <c r="BR87" s="497">
        <f>(LN(BZ87+1))/($AT$65*1000000)</f>
        <v>89.187557213971644</v>
      </c>
      <c r="BS87" s="498">
        <f>((1/$AT$65)*(((CA87*BZ87)/100)/(BZ87+1)))/1000000</f>
        <v>1.5587322643527264</v>
      </c>
      <c r="BT87" s="428">
        <f>SQRT(BT85^2+BS86^2)</f>
        <v>2.7502945236394347</v>
      </c>
      <c r="BU87" s="429" t="s">
        <v>62</v>
      </c>
      <c r="BV87" s="430">
        <f>BV86</f>
        <v>4.5896489526701667E-2</v>
      </c>
      <c r="BW87" s="431">
        <f>(CD87/BV87)*100</f>
        <v>14.893444462924116</v>
      </c>
      <c r="BX87" s="430">
        <f>BX86</f>
        <v>8.8436102436397435E-2</v>
      </c>
      <c r="BY87" s="431">
        <f>(CG87/BX87)*100</f>
        <v>14.982941293867613</v>
      </c>
      <c r="BZ87" s="432">
        <f>BZ83</f>
        <v>1.3931369371509926E-2</v>
      </c>
      <c r="CA87" s="431">
        <f>(CJ87/BZ87)*100</f>
        <v>1.7598192826039365</v>
      </c>
      <c r="CB87" s="433"/>
      <c r="CC87" s="433"/>
      <c r="CD87" s="432">
        <f>SQRT(CD83^2+CD84^2+CD86^2)</f>
        <v>6.8355681780910968E-3</v>
      </c>
      <c r="CE87" s="434">
        <f>SQRT(CE83^2+CE84^2+CE86^2)</f>
        <v>6.8355681780910968E-3</v>
      </c>
      <c r="CF87" s="375"/>
      <c r="CG87" s="432">
        <f>SQRT(CG83^2+CG84^2+CG86^2)</f>
        <v>1.3250329310630053E-2</v>
      </c>
      <c r="CH87" s="434">
        <f>SQRT(CH83^2+CH84^2+CH86^2)</f>
        <v>1.7597821755186673E-2</v>
      </c>
      <c r="CI87" s="375"/>
      <c r="CJ87" s="432">
        <f>SQRT(CJ83^2+CJ84^2+CJ86^2)</f>
        <v>2.4516692453061049E-4</v>
      </c>
      <c r="CK87" s="434">
        <f>SQRT(CK83^2+CK84^2+CK86^2)</f>
        <v>6.7789791563055771E-4</v>
      </c>
      <c r="CL87" s="435"/>
      <c r="CM87" s="376"/>
      <c r="CN87" s="375"/>
      <c r="CO87" s="375"/>
      <c r="CP87" s="376"/>
    </row>
    <row r="88" spans="1:128" ht="14" customHeight="1" x14ac:dyDescent="0.15">
      <c r="AK88" s="258"/>
      <c r="AL88" s="540" t="s">
        <v>430</v>
      </c>
      <c r="AM88" s="600">
        <v>3.0799283913300001E-3</v>
      </c>
      <c r="AN88" s="590">
        <v>1.2842770415199999E-2</v>
      </c>
      <c r="AO88" s="542" t="s">
        <v>537</v>
      </c>
      <c r="AP88" s="259"/>
      <c r="AQ88" s="258"/>
      <c r="AR88" s="540" t="s">
        <v>430</v>
      </c>
      <c r="AS88" s="576">
        <v>2.5843738693059901E-3</v>
      </c>
      <c r="AT88" s="579">
        <v>7.0000000000000007E-2</v>
      </c>
      <c r="AU88" s="542" t="s">
        <v>537</v>
      </c>
      <c r="AV88" s="259"/>
      <c r="AW88" s="258"/>
      <c r="AX88" s="540" t="s">
        <v>430</v>
      </c>
      <c r="AY88" s="581">
        <v>3.0869999999999999E-3</v>
      </c>
      <c r="AZ88" s="579">
        <v>1.2840000000000001E-2</v>
      </c>
      <c r="BA88" s="542" t="s">
        <v>537</v>
      </c>
      <c r="BB88" s="259"/>
      <c r="BC88" s="258"/>
      <c r="BD88" s="540" t="s">
        <v>430</v>
      </c>
      <c r="BE88" s="580">
        <v>7.502E-3</v>
      </c>
      <c r="BF88" s="579">
        <v>0.02</v>
      </c>
      <c r="BG88" s="542" t="s">
        <v>537</v>
      </c>
      <c r="BH88" s="259"/>
    </row>
    <row r="89" spans="1:128" ht="14" customHeight="1" x14ac:dyDescent="0.15">
      <c r="AK89" s="258"/>
      <c r="AL89" s="540" t="s">
        <v>431</v>
      </c>
      <c r="AM89" s="600">
        <v>0.99506179731383804</v>
      </c>
      <c r="AN89" s="590">
        <v>5.4103655891E-3</v>
      </c>
      <c r="AO89" s="542" t="s">
        <v>537</v>
      </c>
      <c r="AP89" s="259"/>
      <c r="AQ89" s="258"/>
      <c r="AR89" s="540" t="s">
        <v>431</v>
      </c>
      <c r="AS89" s="576">
        <v>1.0070658940847199</v>
      </c>
      <c r="AT89" s="579">
        <v>0.01</v>
      </c>
      <c r="AU89" s="542" t="s">
        <v>537</v>
      </c>
      <c r="AV89" s="259"/>
      <c r="AW89" s="258"/>
      <c r="AX89" s="540" t="s">
        <v>431</v>
      </c>
      <c r="AY89" s="581">
        <v>0.99506179731383804</v>
      </c>
      <c r="AZ89" s="579">
        <v>5.4103600000000003E-3</v>
      </c>
      <c r="BA89" s="542" t="s">
        <v>537</v>
      </c>
      <c r="BB89" s="259"/>
      <c r="BC89" s="258"/>
      <c r="BD89" s="540" t="s">
        <v>431</v>
      </c>
      <c r="BE89" s="580">
        <v>1.0101731789999999</v>
      </c>
      <c r="BF89" s="579">
        <v>4.0000000000000001E-3</v>
      </c>
      <c r="BG89" s="542" t="s">
        <v>537</v>
      </c>
      <c r="BH89" s="259"/>
    </row>
    <row r="90" spans="1:128" ht="14" customHeight="1" x14ac:dyDescent="0.15">
      <c r="AK90" s="258"/>
      <c r="AL90" s="540" t="s">
        <v>432</v>
      </c>
      <c r="AM90" s="602">
        <v>3.0952131813770001E-3</v>
      </c>
      <c r="AN90" s="591">
        <v>1.6635376503799999E-2</v>
      </c>
      <c r="AO90" s="542" t="s">
        <v>537</v>
      </c>
      <c r="AP90" s="259"/>
      <c r="AQ90" s="258"/>
      <c r="AR90" s="540" t="s">
        <v>432</v>
      </c>
      <c r="AS90" s="592">
        <v>2.5662410816273602E-3</v>
      </c>
      <c r="AT90" s="583">
        <v>7.0000000000000007E-2</v>
      </c>
      <c r="AU90" s="542" t="s">
        <v>537</v>
      </c>
      <c r="AV90" s="259"/>
      <c r="AW90" s="258"/>
      <c r="AX90" s="540" t="s">
        <v>432</v>
      </c>
      <c r="AY90" s="582">
        <v>3.1036354862060602E-3</v>
      </c>
      <c r="AZ90" s="583">
        <v>1.6635E-2</v>
      </c>
      <c r="BA90" s="542" t="s">
        <v>537</v>
      </c>
      <c r="BB90" s="259"/>
      <c r="BC90" s="258"/>
      <c r="BD90" s="540" t="s">
        <v>432</v>
      </c>
      <c r="BE90" s="584">
        <v>7.4264494009100993E-3</v>
      </c>
      <c r="BF90" s="583">
        <v>0.02</v>
      </c>
      <c r="BG90" s="542" t="s">
        <v>537</v>
      </c>
      <c r="BH90" s="259"/>
    </row>
    <row r="91" spans="1:128" ht="14" customHeight="1" thickBot="1" x14ac:dyDescent="0.2">
      <c r="AK91" s="260"/>
      <c r="AL91" s="585" t="s">
        <v>106</v>
      </c>
      <c r="AM91" s="586">
        <f>AM80/AM79</f>
        <v>100.23290441259699</v>
      </c>
      <c r="AN91" s="604">
        <v>0.05</v>
      </c>
      <c r="AO91" s="605" t="s">
        <v>126</v>
      </c>
      <c r="AP91" s="587"/>
      <c r="AQ91" s="588"/>
      <c r="AR91" s="585" t="s">
        <v>106</v>
      </c>
      <c r="AS91" s="586">
        <f>AS80/AS79</f>
        <v>77.92980563195799</v>
      </c>
      <c r="AT91" s="604">
        <v>0.05</v>
      </c>
      <c r="AU91" s="605" t="s">
        <v>126</v>
      </c>
      <c r="AV91" s="587"/>
      <c r="AW91" s="588"/>
      <c r="AX91" s="585" t="s">
        <v>106</v>
      </c>
      <c r="AY91" s="586">
        <f>AY80/AY79</f>
        <v>100.23290438407979</v>
      </c>
      <c r="AZ91" s="604">
        <v>0.05</v>
      </c>
      <c r="BA91" s="605" t="s">
        <v>126</v>
      </c>
      <c r="BB91" s="587"/>
      <c r="BC91" s="588"/>
      <c r="BD91" s="585" t="s">
        <v>106</v>
      </c>
      <c r="BE91" s="586">
        <f>BE80/BE79</f>
        <v>91.189826936239101</v>
      </c>
      <c r="BF91" s="604">
        <v>0.05</v>
      </c>
      <c r="BG91" s="605" t="s">
        <v>126</v>
      </c>
      <c r="BH91" s="587"/>
    </row>
    <row r="92" spans="1:128" ht="14" customHeight="1" x14ac:dyDescent="0.15">
      <c r="AK92" s="589"/>
      <c r="AL92" s="589"/>
      <c r="AM92" s="589"/>
      <c r="AN92" s="589"/>
      <c r="AO92" s="589"/>
      <c r="AP92" s="589"/>
      <c r="AQ92" s="589"/>
      <c r="AR92" s="589"/>
      <c r="AS92" s="589"/>
      <c r="AT92" s="589"/>
      <c r="AU92" s="589"/>
      <c r="AV92" s="589"/>
      <c r="AW92" s="589"/>
      <c r="AX92" s="589"/>
      <c r="AY92" s="589"/>
      <c r="AZ92" s="589"/>
      <c r="BA92" s="589"/>
      <c r="BB92" s="589"/>
      <c r="BC92" s="589"/>
      <c r="BD92" s="589"/>
      <c r="BE92" s="589"/>
      <c r="BF92" s="589"/>
      <c r="BG92" s="589"/>
      <c r="BH92" s="589"/>
    </row>
    <row r="93" spans="1:128" ht="14" customHeight="1" x14ac:dyDescent="0.15">
      <c r="BD93" s="589"/>
      <c r="BE93" s="589"/>
      <c r="BF93" s="589"/>
      <c r="BG93" s="589"/>
      <c r="BH93" s="589"/>
    </row>
    <row r="94" spans="1:128" ht="14" customHeight="1" x14ac:dyDescent="0.15">
      <c r="BD94" s="589"/>
      <c r="BE94" s="589"/>
      <c r="BF94" s="589"/>
      <c r="BG94" s="589"/>
      <c r="BH94" s="589"/>
    </row>
    <row r="95" spans="1:128" ht="14" customHeight="1" x14ac:dyDescent="0.15">
      <c r="BD95" s="344"/>
      <c r="BE95" s="344"/>
      <c r="BF95" s="344"/>
      <c r="BG95" s="344"/>
      <c r="BH95" s="344"/>
    </row>
    <row r="96" spans="1:128" ht="14" customHeight="1" x14ac:dyDescent="0.15"/>
    <row r="97" spans="56:60" ht="14" customHeight="1" x14ac:dyDescent="0.15"/>
    <row r="98" spans="56:60" ht="14" customHeight="1" x14ac:dyDescent="0.15"/>
    <row r="99" spans="56:60" ht="14" customHeight="1" x14ac:dyDescent="0.15"/>
    <row r="100" spans="56:60" ht="14" customHeight="1" x14ac:dyDescent="0.15"/>
    <row r="101" spans="56:60" ht="14" customHeight="1" x14ac:dyDescent="0.15"/>
    <row r="102" spans="56:60" ht="14" customHeight="1" x14ac:dyDescent="0.15"/>
    <row r="103" spans="56:60" ht="14" customHeight="1" x14ac:dyDescent="0.15"/>
    <row r="104" spans="56:60" ht="14" customHeight="1" x14ac:dyDescent="0.15"/>
    <row r="105" spans="56:60" ht="14" customHeight="1" x14ac:dyDescent="0.15"/>
    <row r="106" spans="56:60" ht="14" customHeight="1" x14ac:dyDescent="0.15"/>
    <row r="107" spans="56:60" ht="14" customHeight="1" x14ac:dyDescent="0.15"/>
    <row r="108" spans="56:60" ht="14" customHeight="1" x14ac:dyDescent="0.15">
      <c r="BD108" s="546"/>
      <c r="BE108" s="546"/>
      <c r="BF108" s="546"/>
      <c r="BG108" s="546"/>
      <c r="BH108" s="546"/>
    </row>
    <row r="109" spans="56:60" ht="14" customHeight="1" x14ac:dyDescent="0.15">
      <c r="BD109" s="546"/>
      <c r="BE109" s="546"/>
      <c r="BF109" s="546"/>
      <c r="BG109" s="546"/>
      <c r="BH109" s="546"/>
    </row>
    <row r="110" spans="56:60" ht="14" customHeight="1" x14ac:dyDescent="0.15">
      <c r="BE110" s="546"/>
      <c r="BF110" s="546"/>
      <c r="BG110" s="546"/>
      <c r="BH110" s="546"/>
    </row>
    <row r="111" spans="56:60" ht="14" customHeight="1" x14ac:dyDescent="0.15">
      <c r="BD111" s="589"/>
      <c r="BE111" s="344"/>
      <c r="BF111" s="344"/>
      <c r="BG111" s="344"/>
      <c r="BH111" s="344"/>
    </row>
    <row r="112" spans="56:60" ht="14" customHeight="1" x14ac:dyDescent="0.15"/>
    <row r="113" spans="35:60" ht="14" customHeight="1" x14ac:dyDescent="0.15"/>
    <row r="114" spans="35:60" ht="14" customHeight="1" x14ac:dyDescent="0.15"/>
    <row r="115" spans="35:60" ht="14" customHeight="1" x14ac:dyDescent="0.15"/>
    <row r="116" spans="35:60" ht="14" customHeight="1" x14ac:dyDescent="0.15"/>
    <row r="117" spans="35:60" ht="14" customHeight="1" x14ac:dyDescent="0.15"/>
    <row r="118" spans="35:60" ht="14" customHeight="1" x14ac:dyDescent="0.15"/>
    <row r="119" spans="35:60" ht="14" customHeight="1" x14ac:dyDescent="0.15"/>
    <row r="120" spans="35:60" ht="14" customHeight="1" x14ac:dyDescent="0.15">
      <c r="AI120" s="603"/>
    </row>
    <row r="121" spans="35:60" ht="14" customHeight="1" x14ac:dyDescent="0.15"/>
    <row r="122" spans="35:60" ht="14" customHeight="1" x14ac:dyDescent="0.15"/>
    <row r="123" spans="35:60" ht="12" customHeight="1" x14ac:dyDescent="0.15"/>
    <row r="124" spans="35:60" ht="12" customHeight="1" x14ac:dyDescent="0.15">
      <c r="BE124" s="589"/>
      <c r="BF124" s="589"/>
      <c r="BG124" s="589"/>
      <c r="BH124" s="589"/>
    </row>
    <row r="125" spans="35:60" ht="12" customHeight="1" x14ac:dyDescent="0.15">
      <c r="BE125" s="589"/>
      <c r="BF125" s="589"/>
      <c r="BG125" s="589"/>
      <c r="BH125" s="589"/>
    </row>
    <row r="126" spans="35:60" ht="12" customHeight="1" x14ac:dyDescent="0.15"/>
    <row r="127" spans="35:60" ht="15.75" customHeight="1" x14ac:dyDescent="0.15">
      <c r="BE127" s="589"/>
      <c r="BF127" s="589"/>
      <c r="BG127" s="589"/>
      <c r="BH127" s="589"/>
    </row>
    <row r="128" spans="35:60"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sheetData>
  <mergeCells count="41">
    <mergeCell ref="BL81:BT81"/>
    <mergeCell ref="O1:R1"/>
    <mergeCell ref="S1:U1"/>
    <mergeCell ref="A9:D9"/>
    <mergeCell ref="A6:D6"/>
    <mergeCell ref="A7:D7"/>
    <mergeCell ref="A8:D8"/>
    <mergeCell ref="AK53:AP53"/>
    <mergeCell ref="A27:B28"/>
    <mergeCell ref="A23:B24"/>
    <mergeCell ref="L1:N1"/>
    <mergeCell ref="AK70:AP70"/>
    <mergeCell ref="AK61:AP61"/>
    <mergeCell ref="AK50:AP50"/>
    <mergeCell ref="AR53:AW53"/>
    <mergeCell ref="O50:T50"/>
    <mergeCell ref="AK65:AP65"/>
    <mergeCell ref="H1:K1"/>
    <mergeCell ref="A2:D2"/>
    <mergeCell ref="A11:B12"/>
    <mergeCell ref="A3:D3"/>
    <mergeCell ref="A15:B16"/>
    <mergeCell ref="A1:D1"/>
    <mergeCell ref="E1:G1"/>
    <mergeCell ref="A4:D4"/>
    <mergeCell ref="AK57:AP57"/>
    <mergeCell ref="AR63:AW63"/>
    <mergeCell ref="A5:D5"/>
    <mergeCell ref="BV47:CB48"/>
    <mergeCell ref="CN47:CP48"/>
    <mergeCell ref="CJ49:CL49"/>
    <mergeCell ref="CG49:CI49"/>
    <mergeCell ref="CD49:CF49"/>
    <mergeCell ref="CD47:CL48"/>
    <mergeCell ref="A19:B20"/>
    <mergeCell ref="A31:B32"/>
    <mergeCell ref="A35:B36"/>
    <mergeCell ref="A39:B40"/>
    <mergeCell ref="A43:B44"/>
    <mergeCell ref="A47:B48"/>
    <mergeCell ref="A49:D49"/>
  </mergeCells>
  <phoneticPr fontId="14" type="noConversion"/>
  <pageMargins left="0.75" right="0.75" top="1" bottom="1" header="0.5" footer="0.5"/>
  <pageSetup orientation="portrait"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S1036"/>
  <sheetViews>
    <sheetView workbookViewId="0">
      <pane ySplit="11" topLeftCell="A137" activePane="bottomLeft" state="frozenSplit"/>
      <selection pane="bottomLeft" activeCell="D150" sqref="D150:AF171"/>
    </sheetView>
  </sheetViews>
  <sheetFormatPr baseColWidth="10" defaultColWidth="13.83203125" defaultRowHeight="16" x14ac:dyDescent="0.2"/>
  <cols>
    <col min="1" max="1" width="25" style="5" customWidth="1"/>
    <col min="2" max="2" width="10.5" style="195" customWidth="1"/>
    <col min="3" max="3" width="14.1640625" style="16" customWidth="1"/>
    <col min="4" max="115" width="14.5" style="16" customWidth="1"/>
    <col min="116" max="16384" width="13.83203125" style="16"/>
  </cols>
  <sheetData>
    <row r="1" spans="1:33" s="3" customFormat="1" ht="18" x14ac:dyDescent="0.2">
      <c r="A1" s="1" t="s">
        <v>12</v>
      </c>
      <c r="B1" s="56"/>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3" s="3" customFormat="1" ht="7.5" customHeight="1" x14ac:dyDescent="0.2">
      <c r="A2" s="1"/>
      <c r="B2" s="59"/>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s="261" customFormat="1" x14ac:dyDescent="0.2">
      <c r="A3" s="4" t="s">
        <v>14</v>
      </c>
      <c r="B3" s="82"/>
      <c r="C3" s="276">
        <f>'Raw Data Input'!E2</f>
        <v>0</v>
      </c>
      <c r="D3" s="276">
        <f>'Raw Data Input'!F2</f>
        <v>0</v>
      </c>
      <c r="E3" s="276">
        <f>'Raw Data Input'!G2</f>
        <v>0</v>
      </c>
      <c r="F3" s="276">
        <f>'Raw Data Input'!H2</f>
        <v>0</v>
      </c>
      <c r="G3" s="276">
        <f>'Raw Data Input'!I2</f>
        <v>0</v>
      </c>
      <c r="H3" s="276">
        <f>'Raw Data Input'!J2</f>
        <v>0</v>
      </c>
      <c r="I3" s="276">
        <f>'Raw Data Input'!K2</f>
        <v>0</v>
      </c>
      <c r="J3" s="276">
        <f>'Raw Data Input'!L2</f>
        <v>0</v>
      </c>
      <c r="K3" s="276">
        <f>'Raw Data Input'!M2</f>
        <v>0</v>
      </c>
      <c r="L3" s="276">
        <f>'Raw Data Input'!N2</f>
        <v>0</v>
      </c>
      <c r="M3" s="276">
        <f>'Raw Data Input'!O2</f>
        <v>0</v>
      </c>
      <c r="N3" s="276">
        <f>'Raw Data Input'!P2</f>
        <v>0</v>
      </c>
      <c r="O3" s="276">
        <f>'Raw Data Input'!Q2</f>
        <v>0</v>
      </c>
      <c r="P3" s="276">
        <f>'Raw Data Input'!R2</f>
        <v>0</v>
      </c>
      <c r="Q3" s="276">
        <f>'Raw Data Input'!S2</f>
        <v>0</v>
      </c>
      <c r="R3" s="276">
        <f>'Raw Data Input'!T2</f>
        <v>0</v>
      </c>
      <c r="S3" s="276">
        <f>'Raw Data Input'!U2</f>
        <v>0</v>
      </c>
      <c r="T3" s="276">
        <f>'Raw Data Input'!V2</f>
        <v>0</v>
      </c>
      <c r="U3" s="276">
        <f>'Raw Data Input'!W2</f>
        <v>0</v>
      </c>
      <c r="V3" s="276">
        <f>'Raw Data Input'!X2</f>
        <v>0</v>
      </c>
      <c r="W3" s="276">
        <f>'Raw Data Input'!Y2</f>
        <v>0</v>
      </c>
      <c r="X3" s="276">
        <f>'Raw Data Input'!Z2</f>
        <v>0</v>
      </c>
      <c r="Y3" s="276">
        <f>'Raw Data Input'!AA2</f>
        <v>0</v>
      </c>
      <c r="Z3" s="276">
        <f>'Raw Data Input'!AB2</f>
        <v>0</v>
      </c>
      <c r="AA3" s="276">
        <f>'Raw Data Input'!AC2</f>
        <v>0</v>
      </c>
      <c r="AB3" s="276">
        <f>'Raw Data Input'!AD2</f>
        <v>0</v>
      </c>
      <c r="AC3" s="276">
        <f>'Raw Data Input'!AE2</f>
        <v>0</v>
      </c>
      <c r="AD3" s="276">
        <f>'Raw Data Input'!AF2</f>
        <v>0</v>
      </c>
      <c r="AE3" s="276">
        <f>'Raw Data Input'!AG2</f>
        <v>0</v>
      </c>
      <c r="AF3" s="276">
        <f>'Raw Data Input'!AH2</f>
        <v>0</v>
      </c>
      <c r="AG3" s="277"/>
    </row>
    <row r="4" spans="1:33" s="261" customFormat="1" x14ac:dyDescent="0.2">
      <c r="A4" s="4" t="s">
        <v>135</v>
      </c>
      <c r="B4" s="82"/>
      <c r="C4" s="276" t="str">
        <f>'Raw Data Input'!$E1</f>
        <v>sample name</v>
      </c>
      <c r="D4" s="276" t="str">
        <f>'Raw Data Input'!$E1</f>
        <v>sample name</v>
      </c>
      <c r="E4" s="276" t="str">
        <f>'Raw Data Input'!$E1</f>
        <v>sample name</v>
      </c>
      <c r="F4" s="276" t="str">
        <f>'Raw Data Input'!$E1</f>
        <v>sample name</v>
      </c>
      <c r="G4" s="276" t="str">
        <f>'Raw Data Input'!$E1</f>
        <v>sample name</v>
      </c>
      <c r="H4" s="276" t="str">
        <f>'Raw Data Input'!$E1</f>
        <v>sample name</v>
      </c>
      <c r="I4" s="276" t="str">
        <f>'Raw Data Input'!$E1</f>
        <v>sample name</v>
      </c>
      <c r="J4" s="276" t="str">
        <f>'Raw Data Input'!$E1</f>
        <v>sample name</v>
      </c>
      <c r="K4" s="276" t="str">
        <f>'Raw Data Input'!$E1</f>
        <v>sample name</v>
      </c>
      <c r="L4" s="276" t="str">
        <f>'Raw Data Input'!$E1</f>
        <v>sample name</v>
      </c>
      <c r="M4" s="276" t="str">
        <f>'Raw Data Input'!$E1</f>
        <v>sample name</v>
      </c>
      <c r="N4" s="276" t="str">
        <f>'Raw Data Input'!$E1</f>
        <v>sample name</v>
      </c>
      <c r="O4" s="276" t="str">
        <f>'Raw Data Input'!$E1</f>
        <v>sample name</v>
      </c>
      <c r="P4" s="276" t="str">
        <f>'Raw Data Input'!$E1</f>
        <v>sample name</v>
      </c>
      <c r="Q4" s="276" t="str">
        <f>'Raw Data Input'!$E1</f>
        <v>sample name</v>
      </c>
      <c r="R4" s="276" t="str">
        <f>'Raw Data Input'!$E1</f>
        <v>sample name</v>
      </c>
      <c r="S4" s="276" t="str">
        <f>'Raw Data Input'!$E1</f>
        <v>sample name</v>
      </c>
      <c r="T4" s="276" t="str">
        <f>'Raw Data Input'!$E1</f>
        <v>sample name</v>
      </c>
      <c r="U4" s="276" t="str">
        <f>'Raw Data Input'!$E1</f>
        <v>sample name</v>
      </c>
      <c r="V4" s="276" t="str">
        <f>'Raw Data Input'!$E1</f>
        <v>sample name</v>
      </c>
      <c r="W4" s="276" t="str">
        <f>'Raw Data Input'!$E1</f>
        <v>sample name</v>
      </c>
      <c r="X4" s="276" t="str">
        <f>'Raw Data Input'!$E1</f>
        <v>sample name</v>
      </c>
      <c r="Y4" s="276" t="str">
        <f>'Raw Data Input'!$E1</f>
        <v>sample name</v>
      </c>
      <c r="Z4" s="276" t="str">
        <f>'Raw Data Input'!$E1</f>
        <v>sample name</v>
      </c>
      <c r="AA4" s="276" t="str">
        <f>'Raw Data Input'!$E1</f>
        <v>sample name</v>
      </c>
      <c r="AB4" s="276" t="str">
        <f>'Raw Data Input'!$E1</f>
        <v>sample name</v>
      </c>
      <c r="AC4" s="276" t="str">
        <f>'Raw Data Input'!$E1</f>
        <v>sample name</v>
      </c>
      <c r="AD4" s="276" t="str">
        <f>'Raw Data Input'!$E1</f>
        <v>sample name</v>
      </c>
      <c r="AE4" s="276" t="str">
        <f>'Raw Data Input'!$E1</f>
        <v>sample name</v>
      </c>
      <c r="AF4" s="276" t="str">
        <f>'Raw Data Input'!$E1</f>
        <v>sample name</v>
      </c>
      <c r="AG4" s="277"/>
    </row>
    <row r="5" spans="1:33" s="261" customFormat="1" x14ac:dyDescent="0.2">
      <c r="A5" s="46" t="s">
        <v>136</v>
      </c>
      <c r="B5" s="58"/>
      <c r="C5" s="276" t="str">
        <f>'Raw Data Input'!E4</f>
        <v>15WZ1-2 t1</v>
      </c>
      <c r="D5" s="276" t="str">
        <f>'Raw Data Input'!F4</f>
        <v>15WZ1-2 t2</v>
      </c>
      <c r="E5" s="276" t="str">
        <f>'Raw Data Input'!G4</f>
        <v>15WZ1-2 t3a</v>
      </c>
      <c r="F5" s="276" t="str">
        <f>'Raw Data Input'!H4</f>
        <v>15WZ1-2 t3b</v>
      </c>
      <c r="G5" s="276" t="str">
        <f>'Raw Data Input'!I4</f>
        <v>15WZ1-2 t4</v>
      </c>
      <c r="H5" s="276" t="str">
        <f>'Raw Data Input'!J4</f>
        <v>15WZ1-2 t5</v>
      </c>
      <c r="I5" s="276" t="str">
        <f>'Raw Data Input'!K4</f>
        <v>15WZ1-2 t6</v>
      </c>
      <c r="J5" s="276" t="str">
        <f>'Raw Data Input'!L4</f>
        <v>15WZ1-2 t7</v>
      </c>
      <c r="K5" s="276" t="str">
        <f>'Raw Data Input'!M4</f>
        <v>z1a</v>
      </c>
      <c r="L5" s="276" t="str">
        <f>'Raw Data Input'!N4</f>
        <v>z1b</v>
      </c>
      <c r="M5" s="276" t="str">
        <f>'Raw Data Input'!O4</f>
        <v>z2</v>
      </c>
      <c r="N5" s="276" t="str">
        <f>'Raw Data Input'!P4</f>
        <v>z3</v>
      </c>
      <c r="O5" s="276" t="str">
        <f>'Raw Data Input'!Q4</f>
        <v>z4</v>
      </c>
      <c r="P5" s="276" t="str">
        <f>'Raw Data Input'!R4</f>
        <v>z5</v>
      </c>
      <c r="Q5" s="276" t="str">
        <f>'Raw Data Input'!S4</f>
        <v>z6</v>
      </c>
      <c r="R5" s="276" t="str">
        <f>'Raw Data Input'!T4</f>
        <v>z9a</v>
      </c>
      <c r="S5" s="276" t="str">
        <f>'Raw Data Input'!U4</f>
        <v>z9b</v>
      </c>
      <c r="T5" s="276" t="str">
        <f>'Raw Data Input'!V4</f>
        <v>z10a</v>
      </c>
      <c r="U5" s="276" t="str">
        <f>'Raw Data Input'!W4</f>
        <v>z10b</v>
      </c>
      <c r="V5" s="276" t="str">
        <f>'Raw Data Input'!X4</f>
        <v>z11a</v>
      </c>
      <c r="W5" s="276" t="str">
        <f>'Raw Data Input'!Y4</f>
        <v>z11b</v>
      </c>
      <c r="X5" s="276" t="str">
        <f>'Raw Data Input'!Z4</f>
        <v>z12a</v>
      </c>
      <c r="Y5" s="276" t="str">
        <f>'Raw Data Input'!AA4</f>
        <v>z12b</v>
      </c>
      <c r="Z5" s="276" t="str">
        <f>'Raw Data Input'!AB4</f>
        <v>z13</v>
      </c>
      <c r="AA5" s="276" t="str">
        <f>'Raw Data Input'!AC4</f>
        <v>z1</v>
      </c>
      <c r="AB5" s="276" t="str">
        <f>'Raw Data Input'!AD4</f>
        <v>z2</v>
      </c>
      <c r="AC5" s="276" t="str">
        <f>'Raw Data Input'!AE4</f>
        <v>z3</v>
      </c>
      <c r="AD5" s="276" t="str">
        <f>'Raw Data Input'!AF4</f>
        <v>z4</v>
      </c>
      <c r="AE5" s="276" t="str">
        <f>'Raw Data Input'!AG4</f>
        <v>z5</v>
      </c>
      <c r="AF5" s="276" t="str">
        <f>'Raw Data Input'!AH4</f>
        <v>z6</v>
      </c>
      <c r="AG5" s="276"/>
    </row>
    <row r="6" spans="1:33" s="261" customFormat="1" x14ac:dyDescent="0.2">
      <c r="A6" s="46" t="s">
        <v>372</v>
      </c>
      <c r="B6" s="58"/>
      <c r="C6" s="278">
        <f>'Raw Data Input'!E5</f>
        <v>0.01</v>
      </c>
      <c r="D6" s="278">
        <f>'Raw Data Input'!F5</f>
        <v>0.01</v>
      </c>
      <c r="E6" s="278">
        <f>'Raw Data Input'!G5</f>
        <v>0.01</v>
      </c>
      <c r="F6" s="278">
        <f>'Raw Data Input'!H5</f>
        <v>0.01</v>
      </c>
      <c r="G6" s="278">
        <f>'Raw Data Input'!I5</f>
        <v>0.01</v>
      </c>
      <c r="H6" s="278">
        <f>'Raw Data Input'!J5</f>
        <v>0.01</v>
      </c>
      <c r="I6" s="278">
        <f>'Raw Data Input'!K5</f>
        <v>0.01</v>
      </c>
      <c r="J6" s="278">
        <f>'Raw Data Input'!L5</f>
        <v>0.01</v>
      </c>
      <c r="K6" s="278">
        <f>'Raw Data Input'!M5</f>
        <v>0.01</v>
      </c>
      <c r="L6" s="278">
        <f>'Raw Data Input'!N5</f>
        <v>0.01</v>
      </c>
      <c r="M6" s="278">
        <f>'Raw Data Input'!O5</f>
        <v>0.01</v>
      </c>
      <c r="N6" s="278">
        <f>'Raw Data Input'!P5</f>
        <v>0.01</v>
      </c>
      <c r="O6" s="278">
        <f>'Raw Data Input'!Q5</f>
        <v>0.01</v>
      </c>
      <c r="P6" s="278">
        <f>'Raw Data Input'!R5</f>
        <v>0.01</v>
      </c>
      <c r="Q6" s="278">
        <f>'Raw Data Input'!S5</f>
        <v>1E-3</v>
      </c>
      <c r="R6" s="278">
        <f>'Raw Data Input'!T5</f>
        <v>0.01</v>
      </c>
      <c r="S6" s="278">
        <f>'Raw Data Input'!U5</f>
        <v>0.01</v>
      </c>
      <c r="T6" s="278">
        <f>'Raw Data Input'!V5</f>
        <v>0.01</v>
      </c>
      <c r="U6" s="278">
        <f>'Raw Data Input'!W5</f>
        <v>0.01</v>
      </c>
      <c r="V6" s="278">
        <f>'Raw Data Input'!X5</f>
        <v>0.01</v>
      </c>
      <c r="W6" s="278">
        <f>'Raw Data Input'!Y5</f>
        <v>0.01</v>
      </c>
      <c r="X6" s="278">
        <f>'Raw Data Input'!Z5</f>
        <v>0.01</v>
      </c>
      <c r="Y6" s="278">
        <f>'Raw Data Input'!AA5</f>
        <v>0.01</v>
      </c>
      <c r="Z6" s="278">
        <f>'Raw Data Input'!AB5</f>
        <v>0.01</v>
      </c>
      <c r="AA6" s="278">
        <f>'Raw Data Input'!AC5</f>
        <v>0.01</v>
      </c>
      <c r="AB6" s="278">
        <f>'Raw Data Input'!AD5</f>
        <v>0.01</v>
      </c>
      <c r="AC6" s="278">
        <f>'Raw Data Input'!AE5</f>
        <v>0.01</v>
      </c>
      <c r="AD6" s="278">
        <f>'Raw Data Input'!AF5</f>
        <v>0.01</v>
      </c>
      <c r="AE6" s="278">
        <f>'Raw Data Input'!AG5</f>
        <v>0.01</v>
      </c>
      <c r="AF6" s="278">
        <f>'Raw Data Input'!AH5</f>
        <v>0.01</v>
      </c>
      <c r="AG6" s="278"/>
    </row>
    <row r="7" spans="1:33" s="262" customFormat="1" x14ac:dyDescent="0.2">
      <c r="A7" s="198" t="s">
        <v>373</v>
      </c>
      <c r="B7" s="58"/>
      <c r="C7" s="279">
        <f>'Raw Data Input'!E6</f>
        <v>1.03E-2</v>
      </c>
      <c r="D7" s="279">
        <f>'Raw Data Input'!F6</f>
        <v>8.9999999999999993E-3</v>
      </c>
      <c r="E7" s="279">
        <f>'Raw Data Input'!G6</f>
        <v>8.3999999999999995E-3</v>
      </c>
      <c r="F7" s="279">
        <f>'Raw Data Input'!H6</f>
        <v>9.5999999999999992E-3</v>
      </c>
      <c r="G7" s="279">
        <f>'Raw Data Input'!I6</f>
        <v>1.2800000000000001E-2</v>
      </c>
      <c r="H7" s="279">
        <f>'Raw Data Input'!J6</f>
        <v>1.0200000000000001E-2</v>
      </c>
      <c r="I7" s="279">
        <f>'Raw Data Input'!K6</f>
        <v>7.7000000000000002E-3</v>
      </c>
      <c r="J7" s="279">
        <f>'Raw Data Input'!L6</f>
        <v>8.6E-3</v>
      </c>
      <c r="K7" s="279">
        <f>'Raw Data Input'!M6</f>
        <v>1.32E-2</v>
      </c>
      <c r="L7" s="279">
        <f>'Raw Data Input'!N6</f>
        <v>9.5999999999999992E-3</v>
      </c>
      <c r="M7" s="279">
        <f>'Raw Data Input'!O6</f>
        <v>8.0000000000000002E-3</v>
      </c>
      <c r="N7" s="279">
        <f>'Raw Data Input'!P6</f>
        <v>1.17E-2</v>
      </c>
      <c r="O7" s="279">
        <f>'Raw Data Input'!Q6</f>
        <v>5.3E-3</v>
      </c>
      <c r="P7" s="279">
        <f>'Raw Data Input'!R6</f>
        <v>7.9000000000000008E-3</v>
      </c>
      <c r="Q7" s="279">
        <f>'Raw Data Input'!S6</f>
        <v>9.4999999999999998E-3</v>
      </c>
      <c r="R7" s="279">
        <f>'Raw Data Input'!T6</f>
        <v>5.3E-3</v>
      </c>
      <c r="S7" s="279">
        <f>'Raw Data Input'!U6</f>
        <v>5.4999999999999997E-3</v>
      </c>
      <c r="T7" s="279">
        <f>'Raw Data Input'!V6</f>
        <v>7.9000000000000008E-3</v>
      </c>
      <c r="U7" s="279">
        <f>'Raw Data Input'!W6</f>
        <v>7.1999999999999998E-3</v>
      </c>
      <c r="V7" s="279">
        <f>'Raw Data Input'!X6</f>
        <v>7.1000000000000004E-3</v>
      </c>
      <c r="W7" s="279">
        <f>'Raw Data Input'!Y6</f>
        <v>1.04E-2</v>
      </c>
      <c r="X7" s="279">
        <f>'Raw Data Input'!Z6</f>
        <v>5.0000000000000001E-3</v>
      </c>
      <c r="Y7" s="279">
        <f>'Raw Data Input'!AA6</f>
        <v>4.1000000000000003E-3</v>
      </c>
      <c r="Z7" s="279">
        <f>'Raw Data Input'!AB6</f>
        <v>8.3999999999999995E-3</v>
      </c>
      <c r="AA7" s="279">
        <f>'Raw Data Input'!AC6</f>
        <v>1.2999999999999999E-2</v>
      </c>
      <c r="AB7" s="279">
        <f>'Raw Data Input'!AD6</f>
        <v>1.37E-2</v>
      </c>
      <c r="AC7" s="279">
        <f>'Raw Data Input'!AE6</f>
        <v>1.37E-2</v>
      </c>
      <c r="AD7" s="279">
        <f>'Raw Data Input'!AF6</f>
        <v>1.35E-2</v>
      </c>
      <c r="AE7" s="279">
        <f>'Raw Data Input'!AG6</f>
        <v>8.9999999999999993E-3</v>
      </c>
      <c r="AF7" s="279">
        <f>'Raw Data Input'!AH6</f>
        <v>1.5599999999999999E-2</v>
      </c>
      <c r="AG7" s="279"/>
    </row>
    <row r="8" spans="1:33" s="281" customFormat="1" x14ac:dyDescent="0.2">
      <c r="A8" s="273" t="s">
        <v>422</v>
      </c>
      <c r="B8" s="274"/>
      <c r="C8" s="280">
        <f>'Raw Data Input'!E7</f>
        <v>535</v>
      </c>
      <c r="D8" s="280">
        <f>'Raw Data Input'!F7</f>
        <v>535</v>
      </c>
      <c r="E8" s="280">
        <f>'Raw Data Input'!G7</f>
        <v>535</v>
      </c>
      <c r="F8" s="280">
        <f>'Raw Data Input'!H7</f>
        <v>535</v>
      </c>
      <c r="G8" s="280">
        <f>'Raw Data Input'!I7</f>
        <v>535</v>
      </c>
      <c r="H8" s="280">
        <f>'Raw Data Input'!J7</f>
        <v>535</v>
      </c>
      <c r="I8" s="280">
        <f>'Raw Data Input'!K7</f>
        <v>535</v>
      </c>
      <c r="J8" s="280">
        <f>'Raw Data Input'!L7</f>
        <v>535</v>
      </c>
      <c r="K8" s="280">
        <f>'Raw Data Input'!M7</f>
        <v>535</v>
      </c>
      <c r="L8" s="280">
        <f>'Raw Data Input'!N7</f>
        <v>535</v>
      </c>
      <c r="M8" s="280">
        <f>'Raw Data Input'!O7</f>
        <v>535</v>
      </c>
      <c r="N8" s="280">
        <f>'Raw Data Input'!P7</f>
        <v>535</v>
      </c>
      <c r="O8" s="280">
        <f>'Raw Data Input'!Q7</f>
        <v>535</v>
      </c>
      <c r="P8" s="280">
        <f>'Raw Data Input'!R7</f>
        <v>535</v>
      </c>
      <c r="Q8" s="280">
        <f>'Raw Data Input'!S7</f>
        <v>535</v>
      </c>
      <c r="R8" s="280">
        <f>'Raw Data Input'!T7</f>
        <v>2535</v>
      </c>
      <c r="S8" s="280">
        <f>'Raw Data Input'!U7</f>
        <v>2535</v>
      </c>
      <c r="T8" s="280">
        <f>'Raw Data Input'!V7</f>
        <v>2535</v>
      </c>
      <c r="U8" s="280">
        <f>'Raw Data Input'!W7</f>
        <v>2535</v>
      </c>
      <c r="V8" s="280">
        <f>'Raw Data Input'!X7</f>
        <v>2535</v>
      </c>
      <c r="W8" s="280">
        <f>'Raw Data Input'!Y7</f>
        <v>2535</v>
      </c>
      <c r="X8" s="280">
        <f>'Raw Data Input'!Z7</f>
        <v>2535</v>
      </c>
      <c r="Y8" s="280">
        <f>'Raw Data Input'!AA7</f>
        <v>2535</v>
      </c>
      <c r="Z8" s="280">
        <f>'Raw Data Input'!AB7</f>
        <v>2535</v>
      </c>
      <c r="AA8" s="280">
        <f>'Raw Data Input'!AC7</f>
        <v>535</v>
      </c>
      <c r="AB8" s="280">
        <f>'Raw Data Input'!AD7</f>
        <v>535</v>
      </c>
      <c r="AC8" s="280">
        <f>'Raw Data Input'!AE7</f>
        <v>535</v>
      </c>
      <c r="AD8" s="280">
        <f>'Raw Data Input'!AF7</f>
        <v>535</v>
      </c>
      <c r="AE8" s="280">
        <f>'Raw Data Input'!AG7</f>
        <v>535</v>
      </c>
      <c r="AF8" s="280">
        <f>'Raw Data Input'!AH7</f>
        <v>535</v>
      </c>
      <c r="AG8" s="280"/>
    </row>
    <row r="9" spans="1:33" s="281" customFormat="1" x14ac:dyDescent="0.2">
      <c r="A9" s="273" t="s">
        <v>105</v>
      </c>
      <c r="B9" s="274"/>
      <c r="C9" s="280">
        <f>'Raw Data Input'!E8</f>
        <v>2</v>
      </c>
      <c r="D9" s="280">
        <f>'Raw Data Input'!F8</f>
        <v>2</v>
      </c>
      <c r="E9" s="280">
        <f>'Raw Data Input'!G8</f>
        <v>2</v>
      </c>
      <c r="F9" s="280">
        <f>'Raw Data Input'!H8</f>
        <v>2</v>
      </c>
      <c r="G9" s="280">
        <f>'Raw Data Input'!I8</f>
        <v>2</v>
      </c>
      <c r="H9" s="280">
        <f>'Raw Data Input'!J8</f>
        <v>2</v>
      </c>
      <c r="I9" s="280">
        <f>'Raw Data Input'!K8</f>
        <v>2</v>
      </c>
      <c r="J9" s="280">
        <f>'Raw Data Input'!L8</f>
        <v>2</v>
      </c>
      <c r="K9" s="280">
        <f>'Raw Data Input'!M8</f>
        <v>1</v>
      </c>
      <c r="L9" s="280">
        <f>'Raw Data Input'!N8</f>
        <v>1</v>
      </c>
      <c r="M9" s="280">
        <f>'Raw Data Input'!O8</f>
        <v>1</v>
      </c>
      <c r="N9" s="280">
        <f>'Raw Data Input'!P8</f>
        <v>1</v>
      </c>
      <c r="O9" s="280">
        <f>'Raw Data Input'!Q8</f>
        <v>1</v>
      </c>
      <c r="P9" s="280">
        <f>'Raw Data Input'!R8</f>
        <v>1</v>
      </c>
      <c r="Q9" s="280">
        <f>'Raw Data Input'!S8</f>
        <v>1</v>
      </c>
      <c r="R9" s="280">
        <f>'Raw Data Input'!T8</f>
        <v>3</v>
      </c>
      <c r="S9" s="280">
        <f>'Raw Data Input'!U8</f>
        <v>3</v>
      </c>
      <c r="T9" s="280">
        <f>'Raw Data Input'!V8</f>
        <v>3</v>
      </c>
      <c r="U9" s="280">
        <f>'Raw Data Input'!W8</f>
        <v>3</v>
      </c>
      <c r="V9" s="280">
        <f>'Raw Data Input'!X8</f>
        <v>3</v>
      </c>
      <c r="W9" s="280">
        <f>'Raw Data Input'!Y8</f>
        <v>3</v>
      </c>
      <c r="X9" s="280">
        <f>'Raw Data Input'!Z8</f>
        <v>3</v>
      </c>
      <c r="Y9" s="280">
        <f>'Raw Data Input'!AA8</f>
        <v>3</v>
      </c>
      <c r="Z9" s="280">
        <f>'Raw Data Input'!AB8</f>
        <v>3</v>
      </c>
      <c r="AA9" s="280">
        <f>'Raw Data Input'!AC8</f>
        <v>2</v>
      </c>
      <c r="AB9" s="280">
        <f>'Raw Data Input'!AD8</f>
        <v>2</v>
      </c>
      <c r="AC9" s="280">
        <f>'Raw Data Input'!AE8</f>
        <v>2</v>
      </c>
      <c r="AD9" s="280">
        <f>'Raw Data Input'!AF8</f>
        <v>2</v>
      </c>
      <c r="AE9" s="280">
        <f>'Raw Data Input'!AG8</f>
        <v>2</v>
      </c>
      <c r="AF9" s="280">
        <f>'Raw Data Input'!AH8</f>
        <v>2</v>
      </c>
      <c r="AG9" s="280"/>
    </row>
    <row r="10" spans="1:33" s="281" customFormat="1" x14ac:dyDescent="0.2">
      <c r="A10" s="273" t="s">
        <v>132</v>
      </c>
      <c r="B10" s="274"/>
      <c r="C10" s="280" t="str">
        <f>'Raw Data Input'!E9</f>
        <v>D</v>
      </c>
      <c r="D10" s="280" t="str">
        <f>'Raw Data Input'!F9</f>
        <v>D</v>
      </c>
      <c r="E10" s="280" t="str">
        <f>'Raw Data Input'!G9</f>
        <v>D</v>
      </c>
      <c r="F10" s="280" t="str">
        <f>'Raw Data Input'!H9</f>
        <v>D</v>
      </c>
      <c r="G10" s="280" t="str">
        <f>'Raw Data Input'!I9</f>
        <v>D</v>
      </c>
      <c r="H10" s="280" t="str">
        <f>'Raw Data Input'!J9</f>
        <v>D</v>
      </c>
      <c r="I10" s="280" t="str">
        <f>'Raw Data Input'!K9</f>
        <v>D</v>
      </c>
      <c r="J10" s="280" t="str">
        <f>'Raw Data Input'!L9</f>
        <v>D</v>
      </c>
      <c r="K10" s="280" t="str">
        <f>'Raw Data Input'!M9</f>
        <v>D</v>
      </c>
      <c r="L10" s="280" t="str">
        <f>'Raw Data Input'!N9</f>
        <v>D</v>
      </c>
      <c r="M10" s="280" t="str">
        <f>'Raw Data Input'!O9</f>
        <v>D</v>
      </c>
      <c r="N10" s="280" t="str">
        <f>'Raw Data Input'!P9</f>
        <v>D</v>
      </c>
      <c r="O10" s="280" t="str">
        <f>'Raw Data Input'!Q9</f>
        <v>D</v>
      </c>
      <c r="P10" s="280" t="str">
        <f>'Raw Data Input'!R9</f>
        <v>D</v>
      </c>
      <c r="Q10" s="280" t="str">
        <f>'Raw Data Input'!S9</f>
        <v>D</v>
      </c>
      <c r="R10" s="280" t="str">
        <f>'Raw Data Input'!T9</f>
        <v>D</v>
      </c>
      <c r="S10" s="280" t="str">
        <f>'Raw Data Input'!U9</f>
        <v>D</v>
      </c>
      <c r="T10" s="280" t="str">
        <f>'Raw Data Input'!V9</f>
        <v>D</v>
      </c>
      <c r="U10" s="280" t="str">
        <f>'Raw Data Input'!W9</f>
        <v>D</v>
      </c>
      <c r="V10" s="280" t="str">
        <f>'Raw Data Input'!X9</f>
        <v>D</v>
      </c>
      <c r="W10" s="280" t="str">
        <f>'Raw Data Input'!Y9</f>
        <v>D</v>
      </c>
      <c r="X10" s="280" t="str">
        <f>'Raw Data Input'!Z9</f>
        <v>D</v>
      </c>
      <c r="Y10" s="280" t="str">
        <f>'Raw Data Input'!AA9</f>
        <v>D</v>
      </c>
      <c r="Z10" s="280" t="str">
        <f>'Raw Data Input'!AB9</f>
        <v>D</v>
      </c>
      <c r="AA10" s="280" t="str">
        <f>'Raw Data Input'!AC9</f>
        <v>F</v>
      </c>
      <c r="AB10" s="280" t="str">
        <f>'Raw Data Input'!AD9</f>
        <v>F</v>
      </c>
      <c r="AC10" s="280" t="str">
        <f>'Raw Data Input'!AE9</f>
        <v>F</v>
      </c>
      <c r="AD10" s="280" t="str">
        <f>'Raw Data Input'!AF9</f>
        <v>F</v>
      </c>
      <c r="AE10" s="280" t="str">
        <f>'Raw Data Input'!AG9</f>
        <v>F</v>
      </c>
      <c r="AF10" s="280" t="str">
        <f>'Raw Data Input'!AH9</f>
        <v>F</v>
      </c>
      <c r="AG10" s="280"/>
    </row>
    <row r="11" spans="1:33" s="25" customFormat="1" x14ac:dyDescent="0.2">
      <c r="A11" s="198"/>
      <c r="B11" s="58"/>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row>
    <row r="12" spans="1:33" s="262" customFormat="1" x14ac:dyDescent="0.2">
      <c r="A12" s="198" t="s">
        <v>289</v>
      </c>
      <c r="B12" s="59"/>
      <c r="C12" s="279">
        <f>'Raw Data Input'!E19</f>
        <v>0.24310815999999999</v>
      </c>
      <c r="D12" s="279">
        <f>'Raw Data Input'!F19</f>
        <v>7.3521429999999999E-2</v>
      </c>
      <c r="E12" s="279">
        <f>'Raw Data Input'!G19</f>
        <v>0.12494861</v>
      </c>
      <c r="F12" s="279">
        <f>'Raw Data Input'!H19</f>
        <v>0.29568221</v>
      </c>
      <c r="G12" s="279">
        <f>'Raw Data Input'!I19</f>
        <v>0.21594738999999999</v>
      </c>
      <c r="H12" s="279">
        <f>'Raw Data Input'!J19</f>
        <v>0.13115434000000001</v>
      </c>
      <c r="I12" s="279">
        <f>'Raw Data Input'!K19</f>
        <v>0.16087325</v>
      </c>
      <c r="J12" s="279">
        <f>'Raw Data Input'!L19</f>
        <v>0.13698716</v>
      </c>
      <c r="K12" s="279">
        <f>'Raw Data Input'!M19</f>
        <v>0.55394244000000004</v>
      </c>
      <c r="L12" s="279">
        <f>'Raw Data Input'!N19</f>
        <v>0.54277734</v>
      </c>
      <c r="M12" s="279">
        <f>'Raw Data Input'!O19</f>
        <v>0.60198631000000002</v>
      </c>
      <c r="N12" s="279">
        <f>'Raw Data Input'!P19</f>
        <v>0.64104824000000005</v>
      </c>
      <c r="O12" s="279">
        <f>'Raw Data Input'!Q19</f>
        <v>0.37379678999999999</v>
      </c>
      <c r="P12" s="279">
        <f>'Raw Data Input'!R19</f>
        <v>0.51354820999999995</v>
      </c>
      <c r="Q12" s="279">
        <f>'Raw Data Input'!S19</f>
        <v>8.5432187000000007E-2</v>
      </c>
      <c r="R12" s="279">
        <f>'Raw Data Input'!T19</f>
        <v>0.15651949000000001</v>
      </c>
      <c r="S12" s="279">
        <f>'Raw Data Input'!U19</f>
        <v>0.14650024</v>
      </c>
      <c r="T12" s="279">
        <f>'Raw Data Input'!V19</f>
        <v>9.3082733000000001E-2</v>
      </c>
      <c r="U12" s="279">
        <f>'Raw Data Input'!W19</f>
        <v>6.2848785000000004E-2</v>
      </c>
      <c r="V12" s="279">
        <f>'Raw Data Input'!X19</f>
        <v>3.3424463000000001E-2</v>
      </c>
      <c r="W12" s="279">
        <f>'Raw Data Input'!Y19</f>
        <v>2.1856671000000001E-2</v>
      </c>
      <c r="X12" s="279">
        <f>'Raw Data Input'!Z19</f>
        <v>0.15171336999999999</v>
      </c>
      <c r="Y12" s="279">
        <f>'Raw Data Input'!AA19</f>
        <v>0.12976438000000001</v>
      </c>
      <c r="Z12" s="279">
        <f>'Raw Data Input'!AB19</f>
        <v>5.6756998000000003E-2</v>
      </c>
      <c r="AA12" s="279">
        <f>'Raw Data Input'!AC19</f>
        <v>42.087597000000002</v>
      </c>
      <c r="AB12" s="279">
        <f>'Raw Data Input'!AD19</f>
        <v>49.157311</v>
      </c>
      <c r="AC12" s="279">
        <f>'Raw Data Input'!AE19</f>
        <v>22.958867999999999</v>
      </c>
      <c r="AD12" s="279">
        <f>'Raw Data Input'!AF19</f>
        <v>57.133848999999998</v>
      </c>
      <c r="AE12" s="279">
        <f>'Raw Data Input'!AG19</f>
        <v>77.101586999999995</v>
      </c>
      <c r="AF12" s="279">
        <f>'Raw Data Input'!AH19</f>
        <v>45.368989999999997</v>
      </c>
      <c r="AG12" s="279"/>
    </row>
    <row r="13" spans="1:33" s="262" customFormat="1" x14ac:dyDescent="0.2">
      <c r="A13" s="44" t="s">
        <v>385</v>
      </c>
      <c r="B13" s="59"/>
      <c r="C13" s="282">
        <f>'Raw Data Input'!E20</f>
        <v>1.1233664000000001E-2</v>
      </c>
      <c r="D13" s="282">
        <f>'Raw Data Input'!F20</f>
        <v>5.9942229E-2</v>
      </c>
      <c r="E13" s="282">
        <f>'Raw Data Input'!G20</f>
        <v>2.5972222E-2</v>
      </c>
      <c r="F13" s="282">
        <f>'Raw Data Input'!H20</f>
        <v>1.8999536000000001E-2</v>
      </c>
      <c r="G13" s="282">
        <f>'Raw Data Input'!I20</f>
        <v>2.8390747000000001E-2</v>
      </c>
      <c r="H13" s="282">
        <f>'Raw Data Input'!J20</f>
        <v>2.6506410000000001E-2</v>
      </c>
      <c r="I13" s="282">
        <f>'Raw Data Input'!K20</f>
        <v>3.3013925999999999E-2</v>
      </c>
      <c r="J13" s="282">
        <f>'Raw Data Input'!L20</f>
        <v>1.9341553000000001E-2</v>
      </c>
      <c r="K13" s="282">
        <f>'Raw Data Input'!M20</f>
        <v>6.2759879000000001E-3</v>
      </c>
      <c r="L13" s="282">
        <f>'Raw Data Input'!N20</f>
        <v>7.6336870000000001E-3</v>
      </c>
      <c r="M13" s="282">
        <f>'Raw Data Input'!O20</f>
        <v>1.4352760000000001E-2</v>
      </c>
      <c r="N13" s="282">
        <f>'Raw Data Input'!P20</f>
        <v>7.9666323000000001E-3</v>
      </c>
      <c r="O13" s="282">
        <f>'Raw Data Input'!Q20</f>
        <v>9.0736681999999992E-3</v>
      </c>
      <c r="P13" s="282">
        <f>'Raw Data Input'!R20</f>
        <v>1.0732416E-2</v>
      </c>
      <c r="Q13" s="282">
        <f>'Raw Data Input'!S20</f>
        <v>3.6645964000000003E-2</v>
      </c>
      <c r="R13" s="282">
        <f>'Raw Data Input'!T20</f>
        <v>2.0078519E-2</v>
      </c>
      <c r="S13" s="282">
        <f>'Raw Data Input'!U20</f>
        <v>2.9721929000000001E-2</v>
      </c>
      <c r="T13" s="282">
        <f>'Raw Data Input'!V20</f>
        <v>2.3793715E-2</v>
      </c>
      <c r="U13" s="282">
        <f>'Raw Data Input'!W20</f>
        <v>2.9785827000000001E-2</v>
      </c>
      <c r="V13" s="282">
        <f>'Raw Data Input'!X20</f>
        <v>4.4912502E-2</v>
      </c>
      <c r="W13" s="282">
        <f>'Raw Data Input'!Y20</f>
        <v>2.6786675999999999E-2</v>
      </c>
      <c r="X13" s="282">
        <f>'Raw Data Input'!Z20</f>
        <v>1.9926032E-2</v>
      </c>
      <c r="Y13" s="282">
        <f>'Raw Data Input'!AA20</f>
        <v>3.1911604000000003E-2</v>
      </c>
      <c r="Z13" s="282">
        <f>'Raw Data Input'!AB20</f>
        <v>3.4038496000000001E-2</v>
      </c>
      <c r="AA13" s="282">
        <f>'Raw Data Input'!AC20</f>
        <v>1.4104891E-2</v>
      </c>
      <c r="AB13" s="282">
        <f>'Raw Data Input'!AD20</f>
        <v>2.2815258000000001E-2</v>
      </c>
      <c r="AC13" s="282">
        <f>'Raw Data Input'!AE20</f>
        <v>9.0154998E-3</v>
      </c>
      <c r="AD13" s="282">
        <f>'Raw Data Input'!AF20</f>
        <v>1.1082389E-2</v>
      </c>
      <c r="AE13" s="282">
        <f>'Raw Data Input'!AG20</f>
        <v>1.6650442000000001E-2</v>
      </c>
      <c r="AF13" s="282">
        <f>'Raw Data Input'!AH20</f>
        <v>1.1735097999999999E-2</v>
      </c>
      <c r="AG13" s="282"/>
    </row>
    <row r="14" spans="1:33" s="262" customFormat="1" x14ac:dyDescent="0.2">
      <c r="A14" s="198" t="s">
        <v>290</v>
      </c>
      <c r="B14" s="59"/>
      <c r="C14" s="279">
        <f>1/'Raw Data Input'!E11</f>
        <v>1.7010881861126564E-2</v>
      </c>
      <c r="D14" s="279">
        <f>1/'Raw Data Input'!F11</f>
        <v>4.6234530388477323E-2</v>
      </c>
      <c r="E14" s="279">
        <f>1/'Raw Data Input'!G11</f>
        <v>4.3548000151721236E-2</v>
      </c>
      <c r="F14" s="279">
        <f>1/'Raw Data Input'!H11</f>
        <v>4.8398594562892201E-2</v>
      </c>
      <c r="G14" s="279">
        <f>1/'Raw Data Input'!I11</f>
        <v>4.5045477238137462E-2</v>
      </c>
      <c r="H14" s="279">
        <f>1/'Raw Data Input'!J11</f>
        <v>4.583783728282835E-2</v>
      </c>
      <c r="I14" s="279">
        <f>1/'Raw Data Input'!K11</f>
        <v>3.9960846362733789E-2</v>
      </c>
      <c r="J14" s="279">
        <f>1/'Raw Data Input'!L11</f>
        <v>4.1760376952548181E-2</v>
      </c>
      <c r="K14" s="279">
        <f>1/'Raw Data Input'!M11</f>
        <v>4.6885061973847043E-4</v>
      </c>
      <c r="L14" s="279">
        <f>1/'Raw Data Input'!N11</f>
        <v>6.8842806126403935E-4</v>
      </c>
      <c r="M14" s="279">
        <f>1/'Raw Data Input'!O11</f>
        <v>7.0407650438970588E-4</v>
      </c>
      <c r="N14" s="279">
        <f>1/'Raw Data Input'!P11</f>
        <v>5.5851122800254656E-4</v>
      </c>
      <c r="O14" s="279">
        <f>1/'Raw Data Input'!Q11</f>
        <v>1.3982469674400297E-3</v>
      </c>
      <c r="P14" s="279">
        <f>1/'Raw Data Input'!R11</f>
        <v>7.0692720798816433E-4</v>
      </c>
      <c r="Q14" s="279">
        <f>1/'Raw Data Input'!S11</f>
        <v>3.1123430733279857E-3</v>
      </c>
      <c r="R14" s="279">
        <f>1/'Raw Data Input'!T11</f>
        <v>4.6555652230953837E-3</v>
      </c>
      <c r="S14" s="279">
        <f>1/'Raw Data Input'!U11</f>
        <v>5.05398132179907E-3</v>
      </c>
      <c r="T14" s="279">
        <f>1/'Raw Data Input'!V11</f>
        <v>6.7378407241831207E-3</v>
      </c>
      <c r="U14" s="279">
        <f>1/'Raw Data Input'!W11</f>
        <v>1.1292969069732185E-2</v>
      </c>
      <c r="V14" s="279">
        <f>1/'Raw Data Input'!X11</f>
        <v>1.3091899676406206E-2</v>
      </c>
      <c r="W14" s="279">
        <f>1/'Raw Data Input'!Y11</f>
        <v>1.8700486021891612E-2</v>
      </c>
      <c r="X14" s="279">
        <f>1/'Raw Data Input'!Z11</f>
        <v>4.5885249434051336E-3</v>
      </c>
      <c r="Y14" s="279">
        <f>1/'Raw Data Input'!AA11</f>
        <v>7.9933105582600042E-3</v>
      </c>
      <c r="Z14" s="279">
        <f>1/'Raw Data Input'!AB11</f>
        <v>9.2673235469161036E-3</v>
      </c>
      <c r="AA14" s="279">
        <f>1/'Raw Data Input'!AC11</f>
        <v>2.4137754745639477E-5</v>
      </c>
      <c r="AB14" s="279">
        <f>1/'Raw Data Input'!AD11</f>
        <v>1.8305281648541449E-5</v>
      </c>
      <c r="AC14" s="279">
        <f>1/'Raw Data Input'!AE11</f>
        <v>2.7883857265434577E-5</v>
      </c>
      <c r="AD14" s="279">
        <f>1/'Raw Data Input'!AF11</f>
        <v>3.3070307539970595E-5</v>
      </c>
      <c r="AE14" s="279">
        <f>1/'Raw Data Input'!AG11</f>
        <v>3.2076243948816581E-5</v>
      </c>
      <c r="AF14" s="279">
        <f>1/'Raw Data Input'!AH11</f>
        <v>5.0197240015191689E-5</v>
      </c>
      <c r="AG14" s="279"/>
    </row>
    <row r="15" spans="1:33" s="262" customFormat="1" x14ac:dyDescent="0.2">
      <c r="A15" s="44" t="s">
        <v>385</v>
      </c>
      <c r="B15" s="59"/>
      <c r="C15" s="282">
        <f>'Raw Data Input'!E12</f>
        <v>6.2578790999999995E-2</v>
      </c>
      <c r="D15" s="282">
        <f>'Raw Data Input'!F12</f>
        <v>0.21962322000000001</v>
      </c>
      <c r="E15" s="282">
        <f>'Raw Data Input'!G12</f>
        <v>0.10094019999999999</v>
      </c>
      <c r="F15" s="282">
        <f>'Raw Data Input'!H12</f>
        <v>5.2241265000000002E-2</v>
      </c>
      <c r="G15" s="282">
        <f>'Raw Data Input'!I12</f>
        <v>9.3197381999999995E-2</v>
      </c>
      <c r="H15" s="282">
        <f>'Raw Data Input'!J12</f>
        <v>8.6223093000000001E-2</v>
      </c>
      <c r="I15" s="282">
        <f>'Raw Data Input'!K12</f>
        <v>0.11489692999999999</v>
      </c>
      <c r="J15" s="282">
        <f>'Raw Data Input'!L12</f>
        <v>7.0005345999999996E-2</v>
      </c>
      <c r="K15" s="282">
        <f>'Raw Data Input'!M12</f>
        <v>0.21408530000000001</v>
      </c>
      <c r="L15" s="282">
        <f>'Raw Data Input'!N12</f>
        <v>0.30210451999999999</v>
      </c>
      <c r="M15" s="282">
        <f>'Raw Data Input'!O12</f>
        <v>0.25005770999999999</v>
      </c>
      <c r="N15" s="282">
        <f>'Raw Data Input'!P12</f>
        <v>0.27345301</v>
      </c>
      <c r="O15" s="282">
        <f>'Raw Data Input'!Q12</f>
        <v>0.19800754000000001</v>
      </c>
      <c r="P15" s="282">
        <f>'Raw Data Input'!R12</f>
        <v>0.28645841999999999</v>
      </c>
      <c r="Q15" s="282">
        <f>'Raw Data Input'!S12</f>
        <v>0.34834132000000001</v>
      </c>
      <c r="R15" s="282">
        <f>'Raw Data Input'!T12</f>
        <v>0.36143816000000001</v>
      </c>
      <c r="S15" s="282">
        <f>'Raw Data Input'!U12</f>
        <v>0.36649707999999998</v>
      </c>
      <c r="T15" s="282">
        <f>'Raw Data Input'!V12</f>
        <v>0.33637800000000001</v>
      </c>
      <c r="U15" s="282">
        <f>'Raw Data Input'!W12</f>
        <v>0.23143516</v>
      </c>
      <c r="V15" s="282">
        <f>'Raw Data Input'!X12</f>
        <v>0.26764095999999998</v>
      </c>
      <c r="W15" s="282">
        <f>'Raw Data Input'!Y12</f>
        <v>0.20111986000000001</v>
      </c>
      <c r="X15" s="282">
        <f>'Raw Data Input'!Z12</f>
        <v>0.23754423</v>
      </c>
      <c r="Y15" s="282">
        <f>'Raw Data Input'!AA12</f>
        <v>0.26799465</v>
      </c>
      <c r="Z15" s="282">
        <f>'Raw Data Input'!AB12</f>
        <v>0.24382237000000001</v>
      </c>
      <c r="AA15" s="282">
        <f>'Raw Data Input'!AC12</f>
        <v>0.19420349000000001</v>
      </c>
      <c r="AB15" s="282">
        <f>'Raw Data Input'!AD12</f>
        <v>0.27452373000000002</v>
      </c>
      <c r="AC15" s="282">
        <f>'Raw Data Input'!AE12</f>
        <v>0.24525923999999999</v>
      </c>
      <c r="AD15" s="282">
        <f>'Raw Data Input'!AF12</f>
        <v>0.14659662000000001</v>
      </c>
      <c r="AE15" s="282">
        <f>'Raw Data Input'!AG12</f>
        <v>0.1476721</v>
      </c>
      <c r="AF15" s="282">
        <f>'Raw Data Input'!AH12</f>
        <v>0.14224898999999999</v>
      </c>
      <c r="AG15" s="282"/>
    </row>
    <row r="16" spans="1:33" s="262" customFormat="1" x14ac:dyDescent="0.2">
      <c r="A16" s="198" t="s">
        <v>291</v>
      </c>
      <c r="B16" s="59"/>
      <c r="C16" s="279">
        <f>1/'Raw Data Input'!E15</f>
        <v>0.29491114017689773</v>
      </c>
      <c r="D16" s="279">
        <f>1/'Raw Data Input'!F15</f>
        <v>0.71215986621649618</v>
      </c>
      <c r="E16" s="279">
        <f>1/'Raw Data Input'!G15</f>
        <v>0.68019515887420356</v>
      </c>
      <c r="F16" s="279">
        <f>1/'Raw Data Input'!H15</f>
        <v>0.75543758306508368</v>
      </c>
      <c r="G16" s="279">
        <f>1/'Raw Data Input'!I15</f>
        <v>0.70239615424057633</v>
      </c>
      <c r="H16" s="279">
        <f>1/'Raw Data Input'!J15</f>
        <v>0.71508149783830866</v>
      </c>
      <c r="I16" s="279">
        <f>1/'Raw Data Input'!K15</f>
        <v>0.62900954270377241</v>
      </c>
      <c r="J16" s="279">
        <f>1/'Raw Data Input'!L15</f>
        <v>0.65711272946294375</v>
      </c>
      <c r="K16" s="279">
        <f>1/'Raw Data Input'!M15</f>
        <v>5.2123096197396003E-2</v>
      </c>
      <c r="L16" s="279">
        <f>1/'Raw Data Input'!N15</f>
        <v>5.5303837068701962E-2</v>
      </c>
      <c r="M16" s="279">
        <f>1/'Raw Data Input'!O15</f>
        <v>5.5693589021857955E-2</v>
      </c>
      <c r="N16" s="279">
        <f>1/'Raw Data Input'!P15</f>
        <v>5.3629977183662511E-2</v>
      </c>
      <c r="O16" s="279">
        <f>1/'Raw Data Input'!Q15</f>
        <v>6.4775771218712738E-2</v>
      </c>
      <c r="P16" s="279">
        <f>1/'Raw Data Input'!R15</f>
        <v>5.5240836235778933E-2</v>
      </c>
      <c r="Q16" s="279">
        <f>1/'Raw Data Input'!S15</f>
        <v>8.0272315804133951E-2</v>
      </c>
      <c r="R16" s="279">
        <f>1/'Raw Data Input'!T15</f>
        <v>0.1063789238756995</v>
      </c>
      <c r="S16" s="279">
        <f>1/'Raw Data Input'!U15</f>
        <v>0.11201243409706435</v>
      </c>
      <c r="T16" s="279">
        <f>1/'Raw Data Input'!V15</f>
        <v>0.1328162583888243</v>
      </c>
      <c r="U16" s="279">
        <f>1/'Raw Data Input'!W15</f>
        <v>0.19402641937456244</v>
      </c>
      <c r="V16" s="279">
        <f>1/'Raw Data Input'!X15</f>
        <v>0.20295287091347036</v>
      </c>
      <c r="W16" s="279">
        <f>1/'Raw Data Input'!Y15</f>
        <v>0.26794386576012325</v>
      </c>
      <c r="X16" s="279">
        <f>1/'Raw Data Input'!Z15</f>
        <v>0.10669523253692455</v>
      </c>
      <c r="Y16" s="279">
        <f>1/'Raw Data Input'!AA15</f>
        <v>0.15522837897642716</v>
      </c>
      <c r="Z16" s="279">
        <f>1/'Raw Data Input'!AB15</f>
        <v>0.16201753567634236</v>
      </c>
      <c r="AA16" s="279">
        <f>1/'Raw Data Input'!AC15</f>
        <v>0.17260085374250692</v>
      </c>
      <c r="AB16" s="279">
        <f>1/'Raw Data Input'!AD15</f>
        <v>0.17268414203705848</v>
      </c>
      <c r="AC16" s="279">
        <f>1/'Raw Data Input'!AE15</f>
        <v>0.17280099245830804</v>
      </c>
      <c r="AD16" s="279">
        <f>1/'Raw Data Input'!AF15</f>
        <v>0.17291341747945771</v>
      </c>
      <c r="AE16" s="279">
        <f>1/'Raw Data Input'!AG15</f>
        <v>0.17268891333895275</v>
      </c>
      <c r="AF16" s="279">
        <f>1/'Raw Data Input'!AH15</f>
        <v>0.17311845086408439</v>
      </c>
      <c r="AG16" s="279"/>
    </row>
    <row r="17" spans="1:33" s="262" customFormat="1" x14ac:dyDescent="0.2">
      <c r="A17" s="44" t="s">
        <v>385</v>
      </c>
      <c r="B17" s="59"/>
      <c r="C17" s="282">
        <f>'Raw Data Input'!E16</f>
        <v>2.0361634999999999E-2</v>
      </c>
      <c r="D17" s="282">
        <f>'Raw Data Input'!F16</f>
        <v>9.5541802999999995E-2</v>
      </c>
      <c r="E17" s="282">
        <f>'Raw Data Input'!G16</f>
        <v>3.9403465999999998E-2</v>
      </c>
      <c r="F17" s="282">
        <f>'Raw Data Input'!H16</f>
        <v>2.4114720999999999E-2</v>
      </c>
      <c r="G17" s="282">
        <f>'Raw Data Input'!I16</f>
        <v>3.3009266000000002E-2</v>
      </c>
      <c r="H17" s="282">
        <f>'Raw Data Input'!J16</f>
        <v>3.8671201000000002E-2</v>
      </c>
      <c r="I17" s="282">
        <f>'Raw Data Input'!K16</f>
        <v>4.5168891000000003E-2</v>
      </c>
      <c r="J17" s="282">
        <f>'Raw Data Input'!L16</f>
        <v>2.6959130000000001E-2</v>
      </c>
      <c r="K17" s="282">
        <f>'Raw Data Input'!M16</f>
        <v>2.8920652000000002E-2</v>
      </c>
      <c r="L17" s="282">
        <f>'Raw Data Input'!N16</f>
        <v>3.3602544999999998E-2</v>
      </c>
      <c r="M17" s="282">
        <f>'Raw Data Input'!O16</f>
        <v>2.5989873E-2</v>
      </c>
      <c r="N17" s="282">
        <f>'Raw Data Input'!P16</f>
        <v>3.3148534E-2</v>
      </c>
      <c r="O17" s="282">
        <f>'Raw Data Input'!Q16</f>
        <v>4.4771949999999998E-2</v>
      </c>
      <c r="P17" s="282">
        <f>'Raw Data Input'!R16</f>
        <v>3.0428218999999999E-2</v>
      </c>
      <c r="Q17" s="282">
        <f>'Raw Data Input'!S16</f>
        <v>7.4554364999999997E-2</v>
      </c>
      <c r="R17" s="282">
        <f>'Raw Data Input'!T16</f>
        <v>7.6131373000000002E-2</v>
      </c>
      <c r="S17" s="282">
        <f>'Raw Data Input'!U16</f>
        <v>0.10416676</v>
      </c>
      <c r="T17" s="282">
        <f>'Raw Data Input'!V16</f>
        <v>8.8210218000000007E-2</v>
      </c>
      <c r="U17" s="282">
        <f>'Raw Data Input'!W16</f>
        <v>8.3706006999999999E-2</v>
      </c>
      <c r="V17" s="282">
        <f>'Raw Data Input'!X16</f>
        <v>8.9029536000000006E-2</v>
      </c>
      <c r="W17" s="282">
        <f>'Raw Data Input'!Y16</f>
        <v>6.5010677000000003E-2</v>
      </c>
      <c r="X17" s="282">
        <f>'Raw Data Input'!Z16</f>
        <v>7.1142315999999997E-2</v>
      </c>
      <c r="Y17" s="282">
        <f>'Raw Data Input'!AA16</f>
        <v>7.2040084000000004E-2</v>
      </c>
      <c r="Z17" s="282">
        <f>'Raw Data Input'!AB16</f>
        <v>8.2486951000000003E-2</v>
      </c>
      <c r="AA17" s="282">
        <f>'Raw Data Input'!AC16</f>
        <v>1.8734912E-3</v>
      </c>
      <c r="AB17" s="282">
        <f>'Raw Data Input'!AD16</f>
        <v>2.8872311000000001E-3</v>
      </c>
      <c r="AC17" s="282">
        <f>'Raw Data Input'!AE16</f>
        <v>2.2347770999999999E-3</v>
      </c>
      <c r="AD17" s="282">
        <f>'Raw Data Input'!AF16</f>
        <v>1.8784877999999999E-3</v>
      </c>
      <c r="AE17" s="282">
        <f>'Raw Data Input'!AG16</f>
        <v>2.1957728000000002E-3</v>
      </c>
      <c r="AF17" s="282">
        <f>'Raw Data Input'!AH16</f>
        <v>1.7068908E-3</v>
      </c>
      <c r="AG17" s="282"/>
    </row>
    <row r="18" spans="1:33" s="262" customFormat="1" x14ac:dyDescent="0.2">
      <c r="A18" s="198" t="s">
        <v>292</v>
      </c>
      <c r="B18" s="59"/>
      <c r="C18" s="283">
        <f>'Raw Data Input'!E27</f>
        <v>4.1352196999999997E-3</v>
      </c>
      <c r="D18" s="283">
        <f>'Raw Data Input'!F27</f>
        <v>3.3994661999999999E-3</v>
      </c>
      <c r="E18" s="283">
        <f>'Raw Data Input'!G27</f>
        <v>5.4450059E-3</v>
      </c>
      <c r="F18" s="283">
        <f>'Raw Data Input'!H27</f>
        <v>1.430887E-2</v>
      </c>
      <c r="G18" s="283">
        <f>'Raw Data Input'!I27</f>
        <v>9.7252734999999993E-3</v>
      </c>
      <c r="H18" s="283">
        <f>'Raw Data Input'!J27</f>
        <v>6.0123642000000001E-3</v>
      </c>
      <c r="I18" s="283">
        <f>'Raw Data Input'!K27</f>
        <v>6.4252579000000001E-3</v>
      </c>
      <c r="J18" s="283">
        <f>'Raw Data Input'!L27</f>
        <v>5.7225814000000002E-3</v>
      </c>
      <c r="K18" s="283">
        <f>'Raw Data Input'!M27</f>
        <v>2.5973518000000002E-4</v>
      </c>
      <c r="L18" s="283">
        <f>'Raw Data Input'!N27</f>
        <v>3.7380745000000003E-4</v>
      </c>
      <c r="M18" s="283">
        <f>'Raw Data Input'!O27</f>
        <v>4.2400654E-4</v>
      </c>
      <c r="N18" s="283">
        <f>'Raw Data Input'!P27</f>
        <v>3.5827157000000001E-4</v>
      </c>
      <c r="O18" s="283">
        <f>'Raw Data Input'!Q27</f>
        <v>5.2279159000000002E-4</v>
      </c>
      <c r="P18" s="283">
        <f>'Raw Data Input'!R27</f>
        <v>3.6322873000000001E-4</v>
      </c>
      <c r="Q18" s="283">
        <f>'Raw Data Input'!S27</f>
        <v>2.6526479999999997E-4</v>
      </c>
      <c r="R18" s="283">
        <f>'Raw Data Input'!T27</f>
        <v>7.2805888999999998E-4</v>
      </c>
      <c r="S18" s="283">
        <f>'Raw Data Input'!U27</f>
        <v>7.4108859999999998E-4</v>
      </c>
      <c r="T18" s="283">
        <f>'Raw Data Input'!V27</f>
        <v>6.2785129000000005E-4</v>
      </c>
      <c r="U18" s="283">
        <f>'Raw Data Input'!W27</f>
        <v>7.0941213E-4</v>
      </c>
      <c r="V18" s="283">
        <f>'Raw Data Input'!X27</f>
        <v>4.3811639999999998E-4</v>
      </c>
      <c r="W18" s="283">
        <f>'Raw Data Input'!Y27</f>
        <v>4.0883542999999999E-4</v>
      </c>
      <c r="X18" s="283">
        <f>'Raw Data Input'!Z27</f>
        <v>6.9576461000000003E-4</v>
      </c>
      <c r="Y18" s="283">
        <f>'Raw Data Input'!AA27</f>
        <v>1.0371116000000001E-3</v>
      </c>
      <c r="Z18" s="283">
        <f>'Raw Data Input'!AB27</f>
        <v>5.2673772000000005E-4</v>
      </c>
      <c r="AA18" s="283">
        <f>'Raw Data Input'!AC27</f>
        <v>1.0156904E-3</v>
      </c>
      <c r="AB18" s="283">
        <f>'Raw Data Input'!AD27</f>
        <v>9.0005726000000005E-4</v>
      </c>
      <c r="AC18" s="283">
        <f>'Raw Data Input'!AE27</f>
        <v>6.4031261999999999E-4</v>
      </c>
      <c r="AD18" s="283">
        <f>'Raw Data Input'!AF27</f>
        <v>1.8893893000000001E-3</v>
      </c>
      <c r="AE18" s="283">
        <f>'Raw Data Input'!AG27</f>
        <v>2.4748451999999999E-3</v>
      </c>
      <c r="AF18" s="283">
        <f>'Raw Data Input'!AH27</f>
        <v>2.2792691E-3</v>
      </c>
      <c r="AG18" s="283"/>
    </row>
    <row r="19" spans="1:33" s="262" customFormat="1" x14ac:dyDescent="0.2">
      <c r="A19" s="44" t="s">
        <v>385</v>
      </c>
      <c r="B19" s="59"/>
      <c r="C19" s="282">
        <f>'Raw Data Input'!E28</f>
        <v>6.3249557999999997E-2</v>
      </c>
      <c r="D19" s="282">
        <f>'Raw Data Input'!F28</f>
        <v>0.22005243999999999</v>
      </c>
      <c r="E19" s="282">
        <f>'Raw Data Input'!G28</f>
        <v>0.10192246000000001</v>
      </c>
      <c r="F19" s="282">
        <f>'Raw Data Input'!H28</f>
        <v>4.9898766999999997E-2</v>
      </c>
      <c r="G19" s="282">
        <f>'Raw Data Input'!I28</f>
        <v>8.8508608000000003E-2</v>
      </c>
      <c r="H19" s="282">
        <f>'Raw Data Input'!J28</f>
        <v>8.3920573999999998E-2</v>
      </c>
      <c r="I19" s="282">
        <f>'Raw Data Input'!K28</f>
        <v>0.11529008</v>
      </c>
      <c r="J19" s="282">
        <f>'Raw Data Input'!L28</f>
        <v>6.6518849000000005E-2</v>
      </c>
      <c r="K19" s="282">
        <f>'Raw Data Input'!M28</f>
        <v>0.21814686999999999</v>
      </c>
      <c r="L19" s="282">
        <f>'Raw Data Input'!N28</f>
        <v>0.2973962</v>
      </c>
      <c r="M19" s="282">
        <f>'Raw Data Input'!O28</f>
        <v>0.24537481999999999</v>
      </c>
      <c r="N19" s="282">
        <f>'Raw Data Input'!P28</f>
        <v>0.27145017999999999</v>
      </c>
      <c r="O19" s="282">
        <f>'Raw Data Input'!Q28</f>
        <v>0.19919508999999999</v>
      </c>
      <c r="P19" s="282">
        <f>'Raw Data Input'!R28</f>
        <v>0.28217448000000001</v>
      </c>
      <c r="Q19" s="282">
        <f>'Raw Data Input'!S28</f>
        <v>0.34728024000000002</v>
      </c>
      <c r="R19" s="282">
        <f>'Raw Data Input'!T28</f>
        <v>0.35990069000000002</v>
      </c>
      <c r="S19" s="282">
        <f>'Raw Data Input'!U28</f>
        <v>0.36296573999999998</v>
      </c>
      <c r="T19" s="282">
        <f>'Raw Data Input'!V28</f>
        <v>0.33567356999999998</v>
      </c>
      <c r="U19" s="282">
        <f>'Raw Data Input'!W28</f>
        <v>0.23368136</v>
      </c>
      <c r="V19" s="282">
        <f>'Raw Data Input'!X28</f>
        <v>0.26427287999999999</v>
      </c>
      <c r="W19" s="282">
        <f>'Raw Data Input'!Y28</f>
        <v>0.18663683</v>
      </c>
      <c r="X19" s="282">
        <f>'Raw Data Input'!Z28</f>
        <v>0.22856978</v>
      </c>
      <c r="Y19" s="282">
        <f>'Raw Data Input'!AA28</f>
        <v>0.26859365000000002</v>
      </c>
      <c r="Z19" s="282">
        <f>'Raw Data Input'!AB28</f>
        <v>0.24056347</v>
      </c>
      <c r="AA19" s="282">
        <f>'Raw Data Input'!AC28</f>
        <v>0.19295016000000001</v>
      </c>
      <c r="AB19" s="282">
        <f>'Raw Data Input'!AD28</f>
        <v>0.27122178000000002</v>
      </c>
      <c r="AC19" s="282">
        <f>'Raw Data Input'!AE28</f>
        <v>0.24118475</v>
      </c>
      <c r="AD19" s="282">
        <f>'Raw Data Input'!AF28</f>
        <v>0.14645103000000001</v>
      </c>
      <c r="AE19" s="282">
        <f>'Raw Data Input'!AG28</f>
        <v>0.15511812999999999</v>
      </c>
      <c r="AF19" s="282">
        <f>'Raw Data Input'!AH28</f>
        <v>0.15717606000000001</v>
      </c>
      <c r="AG19" s="282"/>
    </row>
    <row r="20" spans="1:33" s="262" customFormat="1" x14ac:dyDescent="0.2">
      <c r="A20" s="198" t="s">
        <v>293</v>
      </c>
      <c r="B20" s="58"/>
      <c r="C20" s="279">
        <f>'Raw Data Input'!E23</f>
        <v>7.1693919999999994E-2</v>
      </c>
      <c r="D20" s="279">
        <f>'Raw Data Input'!F23</f>
        <v>5.2359376999999999E-2</v>
      </c>
      <c r="E20" s="279">
        <f>'Raw Data Input'!G23</f>
        <v>8.4999415999999994E-2</v>
      </c>
      <c r="F20" s="279">
        <f>'Raw Data Input'!H23</f>
        <v>0.22338503000000001</v>
      </c>
      <c r="G20" s="279">
        <f>'Raw Data Input'!I23</f>
        <v>0.15169594</v>
      </c>
      <c r="H20" s="279">
        <f>'Raw Data Input'!J23</f>
        <v>9.3780287000000004E-2</v>
      </c>
      <c r="I20" s="279">
        <f>'Raw Data Input'!K23</f>
        <v>0.10114077</v>
      </c>
      <c r="J20" s="279">
        <f>'Raw Data Input'!L23</f>
        <v>9.0029996000000001E-2</v>
      </c>
      <c r="K20" s="279">
        <f>'Raw Data Input'!M23</f>
        <v>2.8868536E-2</v>
      </c>
      <c r="L20" s="279">
        <f>'Raw Data Input'!N23</f>
        <v>3.0017604999999999E-2</v>
      </c>
      <c r="M20" s="279">
        <f>'Raw Data Input'!O23</f>
        <v>3.3524850000000002E-2</v>
      </c>
      <c r="N20" s="279">
        <f>'Raw Data Input'!P23</f>
        <v>3.4385310000000002E-2</v>
      </c>
      <c r="O20" s="279">
        <f>'Raw Data Input'!Q23</f>
        <v>2.4203791999999998E-2</v>
      </c>
      <c r="P20" s="279">
        <f>'Raw Data Input'!R23</f>
        <v>2.8375734E-2</v>
      </c>
      <c r="Q20" s="279">
        <f>'Raw Data Input'!S23</f>
        <v>6.8461295999999996E-3</v>
      </c>
      <c r="R20" s="279">
        <f>'Raw Data Input'!T23</f>
        <v>1.6643415000000002E-2</v>
      </c>
      <c r="S20" s="279">
        <f>'Raw Data Input'!U23</f>
        <v>1.6407866E-2</v>
      </c>
      <c r="T20" s="279">
        <f>'Raw Data Input'!V23</f>
        <v>1.2367054000000001E-2</v>
      </c>
      <c r="U20" s="279">
        <f>'Raw Data Input'!W23</f>
        <v>1.2186130999999999E-2</v>
      </c>
      <c r="V20" s="279">
        <f>'Raw Data Input'!X23</f>
        <v>6.7799860999999996E-3</v>
      </c>
      <c r="W20" s="279">
        <f>'Raw Data Input'!Y23</f>
        <v>5.8589007999999996E-3</v>
      </c>
      <c r="X20" s="279">
        <f>'Raw Data Input'!Z23</f>
        <v>1.6176893000000001E-2</v>
      </c>
      <c r="Y20" s="279">
        <f>'Raw Data Input'!AA23</f>
        <v>2.0147186000000001E-2</v>
      </c>
      <c r="Z20" s="279">
        <f>'Raw Data Input'!AB23</f>
        <v>9.1947000999999997E-3</v>
      </c>
      <c r="AA20" s="279">
        <f>'Raw Data Input'!AC23</f>
        <v>7.2650201000000001</v>
      </c>
      <c r="AB20" s="279">
        <f>'Raw Data Input'!AD23</f>
        <v>8.4868249000000002</v>
      </c>
      <c r="AC20" s="279">
        <f>'Raw Data Input'!AE23</f>
        <v>3.9673338999999999</v>
      </c>
      <c r="AD20" s="279">
        <f>'Raw Data Input'!AF23</f>
        <v>9.8789908000000004</v>
      </c>
      <c r="AE20" s="279">
        <f>'Raw Data Input'!AG23</f>
        <v>13.311624</v>
      </c>
      <c r="AF20" s="279">
        <f>'Raw Data Input'!AH23</f>
        <v>7.8533277000000004</v>
      </c>
      <c r="AG20" s="279"/>
    </row>
    <row r="21" spans="1:33" s="262" customFormat="1" x14ac:dyDescent="0.2">
      <c r="A21" s="44" t="s">
        <v>385</v>
      </c>
      <c r="B21" s="58"/>
      <c r="C21" s="282">
        <f>'Raw Data Input'!E24</f>
        <v>1.9672064999999999E-2</v>
      </c>
      <c r="D21" s="282">
        <f>'Raw Data Input'!F24</f>
        <v>6.1519699999999997E-2</v>
      </c>
      <c r="E21" s="282">
        <f>'Raw Data Input'!G24</f>
        <v>3.4542755000000001E-2</v>
      </c>
      <c r="F21" s="282">
        <f>'Raw Data Input'!H24</f>
        <v>2.492985E-2</v>
      </c>
      <c r="G21" s="282">
        <f>'Raw Data Input'!I24</f>
        <v>2.6727422000000001E-2</v>
      </c>
      <c r="H21" s="282">
        <f>'Raw Data Input'!J24</f>
        <v>3.3850994000000002E-2</v>
      </c>
      <c r="I21" s="282">
        <f>'Raw Data Input'!K24</f>
        <v>3.5050001999999997E-2</v>
      </c>
      <c r="J21" s="282">
        <f>'Raw Data Input'!L24</f>
        <v>1.8741437E-2</v>
      </c>
      <c r="K21" s="282">
        <f>'Raw Data Input'!M24</f>
        <v>2.8521257000000001E-2</v>
      </c>
      <c r="L21" s="282">
        <f>'Raw Data Input'!N24</f>
        <v>3.3846148E-2</v>
      </c>
      <c r="M21" s="282">
        <f>'Raw Data Input'!O24</f>
        <v>2.7540327E-2</v>
      </c>
      <c r="N21" s="282">
        <f>'Raw Data Input'!P24</f>
        <v>3.569547E-2</v>
      </c>
      <c r="O21" s="282">
        <f>'Raw Data Input'!Q24</f>
        <v>4.2019781999999999E-2</v>
      </c>
      <c r="P21" s="282">
        <f>'Raw Data Input'!R24</f>
        <v>3.2160411E-2</v>
      </c>
      <c r="Q21" s="282">
        <f>'Raw Data Input'!S24</f>
        <v>6.8238422000000007E-2</v>
      </c>
      <c r="R21" s="282">
        <f>'Raw Data Input'!T24</f>
        <v>7.7876505999999998E-2</v>
      </c>
      <c r="S21" s="282">
        <f>'Raw Data Input'!U24</f>
        <v>9.8313703000000002E-2</v>
      </c>
      <c r="T21" s="282">
        <f>'Raw Data Input'!V24</f>
        <v>7.5886485000000004E-2</v>
      </c>
      <c r="U21" s="282">
        <f>'Raw Data Input'!W24</f>
        <v>8.4615474999999996E-2</v>
      </c>
      <c r="V21" s="282">
        <f>'Raw Data Input'!X24</f>
        <v>9.2140116999999994E-2</v>
      </c>
      <c r="W21" s="282">
        <f>'Raw Data Input'!Y24</f>
        <v>6.9536207000000003E-2</v>
      </c>
      <c r="X21" s="282">
        <f>'Raw Data Input'!Z24</f>
        <v>6.1197922000000002E-2</v>
      </c>
      <c r="Y21" s="282">
        <f>'Raw Data Input'!AA24</f>
        <v>7.2557095000000002E-2</v>
      </c>
      <c r="Z21" s="282">
        <f>'Raw Data Input'!AB24</f>
        <v>8.4832565999999998E-2</v>
      </c>
      <c r="AA21" s="282">
        <f>'Raw Data Input'!AC24</f>
        <v>1.5539588999999999E-2</v>
      </c>
      <c r="AB21" s="282">
        <f>'Raw Data Input'!AD24</f>
        <v>2.4206203999999999E-2</v>
      </c>
      <c r="AC21" s="282">
        <f>'Raw Data Input'!AE24</f>
        <v>9.2898844999999997E-3</v>
      </c>
      <c r="AD21" s="282">
        <f>'Raw Data Input'!AF24</f>
        <v>1.1049322E-2</v>
      </c>
      <c r="AE21" s="282">
        <f>'Raw Data Input'!AG24</f>
        <v>1.8687044E-2</v>
      </c>
      <c r="AF21" s="282">
        <f>'Raw Data Input'!AH24</f>
        <v>1.1702422000000001E-2</v>
      </c>
      <c r="AG21" s="282"/>
    </row>
    <row r="22" spans="1:33" s="262" customFormat="1" x14ac:dyDescent="0.2">
      <c r="A22" s="198" t="s">
        <v>294</v>
      </c>
      <c r="B22" s="59"/>
      <c r="C22" s="282">
        <f>'Raw Data Input'!E31</f>
        <v>0.15928307</v>
      </c>
      <c r="D22" s="282">
        <f>'Raw Data Input'!F31</f>
        <v>0.12842513999999999</v>
      </c>
      <c r="E22" s="282">
        <f>'Raw Data Input'!G31</f>
        <v>0.20758318000000001</v>
      </c>
      <c r="F22" s="282">
        <f>'Raw Data Input'!H31</f>
        <v>0.54376226000000005</v>
      </c>
      <c r="G22" s="282">
        <f>'Raw Data Input'!I31</f>
        <v>0.37252460999999998</v>
      </c>
      <c r="H22" s="282">
        <f>'Raw Data Input'!J31</f>
        <v>0.23021325000000001</v>
      </c>
      <c r="I22" s="282">
        <f>'Raw Data Input'!K31</f>
        <v>0.24632498999999999</v>
      </c>
      <c r="J22" s="282">
        <f>'Raw Data Input'!L31</f>
        <v>0.22043713000000001</v>
      </c>
      <c r="K22" s="282">
        <f>'Raw Data Input'!M31</f>
        <v>0.11330036</v>
      </c>
      <c r="L22" s="282">
        <f>'Raw Data Input'!N31</f>
        <v>0.11367644</v>
      </c>
      <c r="M22" s="282">
        <f>'Raw Data Input'!O31</f>
        <v>0.12612793</v>
      </c>
      <c r="N22" s="282">
        <f>'Raw Data Input'!P31</f>
        <v>0.13760891</v>
      </c>
      <c r="O22" s="282">
        <f>'Raw Data Input'!Q31</f>
        <v>8.4230237999999999E-2</v>
      </c>
      <c r="P22" s="282">
        <f>'Raw Data Input'!R31</f>
        <v>0.10961851</v>
      </c>
      <c r="Q22" s="282">
        <f>'Raw Data Input'!S31</f>
        <v>2.1123151999999999E-2</v>
      </c>
      <c r="R22" s="282">
        <f>'Raw Data Input'!T31</f>
        <v>6.0208471999999999E-2</v>
      </c>
      <c r="S22" s="282">
        <f>'Raw Data Input'!U31</f>
        <v>6.2453685000000002E-2</v>
      </c>
      <c r="T22" s="282">
        <f>'Raw Data Input'!V31</f>
        <v>4.3000655999999998E-2</v>
      </c>
      <c r="U22" s="282">
        <f>'Raw Data Input'!W31</f>
        <v>4.1628265999999997E-2</v>
      </c>
      <c r="V22" s="282">
        <f>'Raw Data Input'!X31</f>
        <v>2.0212278E-2</v>
      </c>
      <c r="W22" s="282">
        <f>'Raw Data Input'!Y31</f>
        <v>1.5938583999999999E-2</v>
      </c>
      <c r="X22" s="282">
        <f>'Raw Data Input'!Z31</f>
        <v>5.0363011999999999E-2</v>
      </c>
      <c r="Y22" s="282">
        <f>'Raw Data Input'!AA31</f>
        <v>6.0134782999999997E-2</v>
      </c>
      <c r="Z22" s="282">
        <f>'Raw Data Input'!AB31</f>
        <v>2.4058284999999999E-2</v>
      </c>
      <c r="AA22" s="282">
        <f>'Raw Data Input'!AC31</f>
        <v>4.8595354000000004</v>
      </c>
      <c r="AB22" s="282">
        <f>'Raw Data Input'!AD31</f>
        <v>4.6271240999999996</v>
      </c>
      <c r="AC22" s="282">
        <f>'Raw Data Input'!AE31</f>
        <v>2.5001145</v>
      </c>
      <c r="AD22" s="282">
        <f>'Raw Data Input'!AF31</f>
        <v>7.4174541999999999</v>
      </c>
      <c r="AE22" s="282">
        <f>'Raw Data Input'!AG31</f>
        <v>10.350129000000001</v>
      </c>
      <c r="AF22" s="282">
        <f>'Raw Data Input'!AH31</f>
        <v>5.1275931000000003</v>
      </c>
      <c r="AG22" s="282"/>
    </row>
    <row r="23" spans="1:33" s="262" customFormat="1" x14ac:dyDescent="0.2">
      <c r="A23" s="44" t="s">
        <v>385</v>
      </c>
      <c r="B23" s="59"/>
      <c r="C23" s="282">
        <f>'Raw Data Input'!E32</f>
        <v>1.4000687E-2</v>
      </c>
      <c r="D23" s="282">
        <f>'Raw Data Input'!F32</f>
        <v>2.9057525000000001E-2</v>
      </c>
      <c r="E23" s="282">
        <f>'Raw Data Input'!G32</f>
        <v>2.5902095999999999E-2</v>
      </c>
      <c r="F23" s="282">
        <f>'Raw Data Input'!H32</f>
        <v>1.4887407E-2</v>
      </c>
      <c r="G23" s="282">
        <f>'Raw Data Input'!I32</f>
        <v>1.7064548999999998E-2</v>
      </c>
      <c r="H23" s="282">
        <f>'Raw Data Input'!J32</f>
        <v>2.1422268000000001E-2</v>
      </c>
      <c r="I23" s="282">
        <f>'Raw Data Input'!K32</f>
        <v>2.8664976000000002E-2</v>
      </c>
      <c r="J23" s="282">
        <f>'Raw Data Input'!L32</f>
        <v>1.3959093000000001E-2</v>
      </c>
      <c r="K23" s="282">
        <f>'Raw Data Input'!M32</f>
        <v>1.4302977999999999E-2</v>
      </c>
      <c r="L23" s="282">
        <f>'Raw Data Input'!N32</f>
        <v>1.7467964999999998E-2</v>
      </c>
      <c r="M23" s="282">
        <f>'Raw Data Input'!O32</f>
        <v>2.8171689999999999E-2</v>
      </c>
      <c r="N23" s="282">
        <f>'Raw Data Input'!P32</f>
        <v>1.2528255E-2</v>
      </c>
      <c r="O23" s="282">
        <f>'Raw Data Input'!Q32</f>
        <v>2.0244432E-2</v>
      </c>
      <c r="P23" s="282">
        <f>'Raw Data Input'!R32</f>
        <v>1.8784821E-2</v>
      </c>
      <c r="Q23" s="282">
        <f>'Raw Data Input'!S32</f>
        <v>5.1220440999999998E-2</v>
      </c>
      <c r="R23" s="282">
        <f>'Raw Data Input'!T32</f>
        <v>4.4904570999999997E-2</v>
      </c>
      <c r="S23" s="282">
        <f>'Raw Data Input'!U32</f>
        <v>4.8691646999999998E-2</v>
      </c>
      <c r="T23" s="282">
        <f>'Raw Data Input'!V32</f>
        <v>4.7624369E-2</v>
      </c>
      <c r="U23" s="282">
        <f>'Raw Data Input'!W32</f>
        <v>4.4507493000000002E-2</v>
      </c>
      <c r="V23" s="282">
        <f>'Raw Data Input'!X32</f>
        <v>6.1587564999999997E-2</v>
      </c>
      <c r="W23" s="282">
        <f>'Raw Data Input'!Y32</f>
        <v>4.8416025000000001E-2</v>
      </c>
      <c r="X23" s="282">
        <f>'Raw Data Input'!Z32</f>
        <v>4.2542701000000002E-2</v>
      </c>
      <c r="Y23" s="282">
        <f>'Raw Data Input'!AA32</f>
        <v>4.5932209000000002E-2</v>
      </c>
      <c r="Z23" s="282">
        <f>'Raw Data Input'!AB32</f>
        <v>8.4545190000000006E-2</v>
      </c>
      <c r="AA23" s="282">
        <f>'Raw Data Input'!AC32</f>
        <v>1.2394466999999999E-2</v>
      </c>
      <c r="AB23" s="282">
        <f>'Raw Data Input'!AD32</f>
        <v>1.9705846999999999E-2</v>
      </c>
      <c r="AC23" s="282">
        <f>'Raw Data Input'!AE32</f>
        <v>9.6967479000000002E-3</v>
      </c>
      <c r="AD23" s="282">
        <f>'Raw Data Input'!AF32</f>
        <v>1.1267569E-2</v>
      </c>
      <c r="AE23" s="282">
        <f>'Raw Data Input'!AG32</f>
        <v>1.6306190000000002E-2</v>
      </c>
      <c r="AF23" s="282">
        <f>'Raw Data Input'!AH32</f>
        <v>1.1919150999999999E-2</v>
      </c>
      <c r="AG23" s="282"/>
    </row>
    <row r="24" spans="1:33" s="262" customFormat="1" x14ac:dyDescent="0.2">
      <c r="A24" s="198" t="s">
        <v>73</v>
      </c>
      <c r="B24" s="59"/>
      <c r="C24" s="282">
        <f>'Raw Data Input'!E35</f>
        <v>0</v>
      </c>
      <c r="D24" s="282">
        <f>'Raw Data Input'!F35</f>
        <v>0</v>
      </c>
      <c r="E24" s="282">
        <f>'Raw Data Input'!G35</f>
        <v>0</v>
      </c>
      <c r="F24" s="282">
        <f>'Raw Data Input'!H35</f>
        <v>0</v>
      </c>
      <c r="G24" s="282">
        <f>'Raw Data Input'!I35</f>
        <v>0</v>
      </c>
      <c r="H24" s="282">
        <f>'Raw Data Input'!J35</f>
        <v>0</v>
      </c>
      <c r="I24" s="282">
        <f>'Raw Data Input'!K35</f>
        <v>0</v>
      </c>
      <c r="J24" s="282">
        <f>'Raw Data Input'!L35</f>
        <v>0</v>
      </c>
      <c r="K24" s="282">
        <f>'Raw Data Input'!M35</f>
        <v>0</v>
      </c>
      <c r="L24" s="282">
        <f>'Raw Data Input'!N35</f>
        <v>0</v>
      </c>
      <c r="M24" s="282">
        <f>'Raw Data Input'!O35</f>
        <v>0</v>
      </c>
      <c r="N24" s="282">
        <f>'Raw Data Input'!P35</f>
        <v>0</v>
      </c>
      <c r="O24" s="282">
        <f>'Raw Data Input'!Q35</f>
        <v>0</v>
      </c>
      <c r="P24" s="282">
        <f>'Raw Data Input'!R35</f>
        <v>0</v>
      </c>
      <c r="Q24" s="282">
        <f>'Raw Data Input'!S35</f>
        <v>0</v>
      </c>
      <c r="R24" s="282">
        <f>'Raw Data Input'!T35</f>
        <v>1.0047881999999999</v>
      </c>
      <c r="S24" s="282">
        <f>'Raw Data Input'!U35</f>
        <v>1.0050463999999999</v>
      </c>
      <c r="T24" s="282">
        <f>'Raw Data Input'!V35</f>
        <v>1.0035495000000001</v>
      </c>
      <c r="U24" s="282">
        <f>'Raw Data Input'!W35</f>
        <v>1.0038267000000001</v>
      </c>
      <c r="V24" s="282">
        <f>'Raw Data Input'!X35</f>
        <v>1.004</v>
      </c>
      <c r="W24" s="282">
        <f>'Raw Data Input'!Y35</f>
        <v>1.0029423</v>
      </c>
      <c r="X24" s="282">
        <f>'Raw Data Input'!Z35</f>
        <v>1.0019476</v>
      </c>
      <c r="Y24" s="282">
        <f>'Raw Data Input'!AA35</f>
        <v>1.0035788000000001</v>
      </c>
      <c r="Z24" s="282">
        <f>'Raw Data Input'!AB35</f>
        <v>1.0037373999999999</v>
      </c>
      <c r="AA24" s="282">
        <f>'Raw Data Input'!AC35</f>
        <v>0</v>
      </c>
      <c r="AB24" s="282">
        <f>'Raw Data Input'!AD35</f>
        <v>0</v>
      </c>
      <c r="AC24" s="282">
        <f>'Raw Data Input'!AE35</f>
        <v>0</v>
      </c>
      <c r="AD24" s="282">
        <f>'Raw Data Input'!AF35</f>
        <v>0</v>
      </c>
      <c r="AE24" s="282">
        <f>'Raw Data Input'!AG35</f>
        <v>0</v>
      </c>
      <c r="AF24" s="282">
        <f>'Raw Data Input'!AH35</f>
        <v>0</v>
      </c>
      <c r="AG24" s="282"/>
    </row>
    <row r="25" spans="1:33" s="262" customFormat="1" x14ac:dyDescent="0.2">
      <c r="A25" s="44" t="s">
        <v>385</v>
      </c>
      <c r="B25" s="59"/>
      <c r="C25" s="282">
        <f>'Raw Data Input'!E36</f>
        <v>0</v>
      </c>
      <c r="D25" s="282">
        <f>'Raw Data Input'!F36</f>
        <v>0</v>
      </c>
      <c r="E25" s="282">
        <f>'Raw Data Input'!G36</f>
        <v>0</v>
      </c>
      <c r="F25" s="282">
        <f>'Raw Data Input'!H36</f>
        <v>0</v>
      </c>
      <c r="G25" s="282">
        <f>'Raw Data Input'!I36</f>
        <v>0</v>
      </c>
      <c r="H25" s="282">
        <f>'Raw Data Input'!J36</f>
        <v>0</v>
      </c>
      <c r="I25" s="282">
        <f>'Raw Data Input'!K36</f>
        <v>0</v>
      </c>
      <c r="J25" s="282">
        <f>'Raw Data Input'!L36</f>
        <v>0</v>
      </c>
      <c r="K25" s="282">
        <f>'Raw Data Input'!M36</f>
        <v>0</v>
      </c>
      <c r="L25" s="282">
        <f>'Raw Data Input'!N36</f>
        <v>0</v>
      </c>
      <c r="M25" s="282">
        <f>'Raw Data Input'!O36</f>
        <v>0</v>
      </c>
      <c r="N25" s="282">
        <f>'Raw Data Input'!P36</f>
        <v>0</v>
      </c>
      <c r="O25" s="282">
        <f>'Raw Data Input'!Q36</f>
        <v>0</v>
      </c>
      <c r="P25" s="282">
        <f>'Raw Data Input'!R36</f>
        <v>0</v>
      </c>
      <c r="Q25" s="282">
        <f>'Raw Data Input'!S36</f>
        <v>0</v>
      </c>
      <c r="R25" s="282">
        <f>'Raw Data Input'!T36</f>
        <v>1.6157670999999998E-2</v>
      </c>
      <c r="S25" s="282">
        <f>'Raw Data Input'!U36</f>
        <v>1.3581060000000001E-2</v>
      </c>
      <c r="T25" s="282">
        <f>'Raw Data Input'!V36</f>
        <v>1.111476E-2</v>
      </c>
      <c r="U25" s="282">
        <f>'Raw Data Input'!W36</f>
        <v>1.6851723999999998E-2</v>
      </c>
      <c r="V25" s="282">
        <f>'Raw Data Input'!X36</f>
        <v>0.02</v>
      </c>
      <c r="W25" s="282">
        <f>'Raw Data Input'!Y36</f>
        <v>9.1313768999999999E-3</v>
      </c>
      <c r="X25" s="282">
        <f>'Raw Data Input'!Z36</f>
        <v>1.2576644E-2</v>
      </c>
      <c r="Y25" s="282">
        <f>'Raw Data Input'!AA36</f>
        <v>1.9534389999999999E-2</v>
      </c>
      <c r="Z25" s="282">
        <f>'Raw Data Input'!AB36</f>
        <v>1.458977E-2</v>
      </c>
      <c r="AA25" s="282">
        <f>'Raw Data Input'!AC36</f>
        <v>0</v>
      </c>
      <c r="AB25" s="282">
        <f>'Raw Data Input'!AD36</f>
        <v>0</v>
      </c>
      <c r="AC25" s="282">
        <f>'Raw Data Input'!AE36</f>
        <v>0</v>
      </c>
      <c r="AD25" s="282">
        <f>'Raw Data Input'!AF36</f>
        <v>0</v>
      </c>
      <c r="AE25" s="282">
        <f>'Raw Data Input'!AG36</f>
        <v>0</v>
      </c>
      <c r="AF25" s="282">
        <f>'Raw Data Input'!AH36</f>
        <v>0</v>
      </c>
      <c r="AG25" s="282"/>
    </row>
    <row r="26" spans="1:33" s="262" customFormat="1" x14ac:dyDescent="0.2">
      <c r="A26" s="198" t="s">
        <v>415</v>
      </c>
      <c r="B26" s="58"/>
      <c r="C26" s="279">
        <f>'Raw Data Input'!E39</f>
        <v>0.16952428999999999</v>
      </c>
      <c r="D26" s="279">
        <f>'Raw Data Input'!F39</f>
        <v>1.3519365E-2</v>
      </c>
      <c r="E26" s="279">
        <f>'Raw Data Input'!G39</f>
        <v>2.5994960000000001E-2</v>
      </c>
      <c r="F26" s="279">
        <f>'Raw Data Input'!H39</f>
        <v>3.6643232999999997E-2</v>
      </c>
      <c r="G26" s="279">
        <f>'Raw Data Input'!I39</f>
        <v>3.5582358000000001E-2</v>
      </c>
      <c r="H26" s="279">
        <f>'Raw Data Input'!J39</f>
        <v>2.0804237E-2</v>
      </c>
      <c r="I26" s="279">
        <f>'Raw Data Input'!K39</f>
        <v>4.3490086999999997E-2</v>
      </c>
      <c r="J26" s="279">
        <f>'Raw Data Input'!L39</f>
        <v>3.2338336000000002E-2</v>
      </c>
      <c r="K26" s="279">
        <f>'Raw Data Input'!M39</f>
        <v>0.79045991999999998</v>
      </c>
      <c r="L26" s="279">
        <f>'Raw Data Input'!N39</f>
        <v>0.77189843000000002</v>
      </c>
      <c r="M26" s="279">
        <f>'Raw Data Input'!O39</f>
        <v>0.8549329</v>
      </c>
      <c r="N26" s="279">
        <f>'Raw Data Input'!P39</f>
        <v>0.91206452000000005</v>
      </c>
      <c r="O26" s="279">
        <f>'Raw Data Input'!Q39</f>
        <v>0.52730664000000005</v>
      </c>
      <c r="P26" s="279">
        <f>'Raw Data Input'!R39</f>
        <v>0.73047388999999996</v>
      </c>
      <c r="Q26" s="279">
        <f>'Raw Data Input'!S39</f>
        <v>0.12089524</v>
      </c>
      <c r="R26" s="279">
        <f>'Raw Data Input'!T39</f>
        <v>0.32910377000000002</v>
      </c>
      <c r="S26" s="279">
        <f>'Raw Data Input'!U39</f>
        <v>0.30626136999999998</v>
      </c>
      <c r="T26" s="279">
        <f>'Raw Data Input'!V39</f>
        <v>0.19138727</v>
      </c>
      <c r="U26" s="279">
        <f>'Raw Data Input'!W39</f>
        <v>0.11960736</v>
      </c>
      <c r="V26" s="279">
        <f>'Raw Data Input'!X39</f>
        <v>6.4422110000000005E-2</v>
      </c>
      <c r="W26" s="279">
        <f>'Raw Data Input'!Y39</f>
        <v>3.9251911E-2</v>
      </c>
      <c r="X26" s="279">
        <f>'Raw Data Input'!Z39</f>
        <v>0.31844112000000002</v>
      </c>
      <c r="Y26" s="279">
        <f>'Raw Data Input'!AA39</f>
        <v>0.25694291000000002</v>
      </c>
      <c r="Z26" s="279">
        <f>'Raw Data Input'!AB39</f>
        <v>0.11335953999999999</v>
      </c>
      <c r="AA26" s="279">
        <f>'Raw Data Input'!AC39</f>
        <v>1.0924554</v>
      </c>
      <c r="AB26" s="279">
        <f>'Raw Data Input'!AD39</f>
        <v>1.2706052000000001</v>
      </c>
      <c r="AC26" s="279">
        <f>'Raw Data Input'!AE39</f>
        <v>0.59809424</v>
      </c>
      <c r="AD26" s="279">
        <f>'Raw Data Input'!AF39</f>
        <v>1.4742725000000001</v>
      </c>
      <c r="AE26" s="279">
        <f>'Raw Data Input'!AG39</f>
        <v>1.9855891000000001</v>
      </c>
      <c r="AF26" s="279">
        <f>'Raw Data Input'!AH39</f>
        <v>1.1732146999999999</v>
      </c>
      <c r="AG26" s="279"/>
    </row>
    <row r="27" spans="1:33" s="262" customFormat="1" x14ac:dyDescent="0.2">
      <c r="A27" s="44" t="s">
        <v>385</v>
      </c>
      <c r="B27" s="58"/>
      <c r="C27" s="282">
        <f>'Raw Data Input'!E40</f>
        <v>8.0097238000000001E-3</v>
      </c>
      <c r="D27" s="282">
        <f>'Raw Data Input'!F40</f>
        <v>7.9913197000000005E-2</v>
      </c>
      <c r="E27" s="282">
        <f>'Raw Data Input'!G40</f>
        <v>5.7902244999999998E-2</v>
      </c>
      <c r="F27" s="282">
        <f>'Raw Data Input'!H40</f>
        <v>3.5000214000000002E-2</v>
      </c>
      <c r="G27" s="282">
        <f>'Raw Data Input'!I40</f>
        <v>4.7496442999999999E-2</v>
      </c>
      <c r="H27" s="282">
        <f>'Raw Data Input'!J40</f>
        <v>0.17418370999999999</v>
      </c>
      <c r="I27" s="282">
        <f>'Raw Data Input'!K40</f>
        <v>2.6557964999999999E-2</v>
      </c>
      <c r="J27" s="282">
        <f>'Raw Data Input'!L40</f>
        <v>0.14220341</v>
      </c>
      <c r="K27" s="282">
        <f>'Raw Data Input'!M40</f>
        <v>3.0646873000000001E-3</v>
      </c>
      <c r="L27" s="282">
        <f>'Raw Data Input'!N40</f>
        <v>2.2326798999999999E-3</v>
      </c>
      <c r="M27" s="282">
        <f>'Raw Data Input'!O40</f>
        <v>1.418615E-3</v>
      </c>
      <c r="N27" s="282">
        <f>'Raw Data Input'!P40</f>
        <v>2.3387364999999999E-3</v>
      </c>
      <c r="O27" s="282">
        <f>'Raw Data Input'!Q40</f>
        <v>2.8801933000000002E-3</v>
      </c>
      <c r="P27" s="282">
        <f>'Raw Data Input'!R40</f>
        <v>1.3280916E-2</v>
      </c>
      <c r="Q27" s="282">
        <f>'Raw Data Input'!S40</f>
        <v>7.2505636E-3</v>
      </c>
      <c r="R27" s="282">
        <f>'Raw Data Input'!T40</f>
        <v>5.5602522E-3</v>
      </c>
      <c r="S27" s="282">
        <f>'Raw Data Input'!U40</f>
        <v>4.9751645000000004E-3</v>
      </c>
      <c r="T27" s="282">
        <f>'Raw Data Input'!V40</f>
        <v>5.3295067000000002E-3</v>
      </c>
      <c r="U27" s="282">
        <f>'Raw Data Input'!W40</f>
        <v>1.3056956E-2</v>
      </c>
      <c r="V27" s="282">
        <f>'Raw Data Input'!X40</f>
        <v>1.1631265E-2</v>
      </c>
      <c r="W27" s="282">
        <f>'Raw Data Input'!Y40</f>
        <v>1.0444604E-2</v>
      </c>
      <c r="X27" s="282">
        <f>'Raw Data Input'!Z40</f>
        <v>3.6990572E-3</v>
      </c>
      <c r="Y27" s="282">
        <f>'Raw Data Input'!AA40</f>
        <v>4.0234863000000003E-3</v>
      </c>
      <c r="Z27" s="282">
        <f>'Raw Data Input'!AB40</f>
        <v>9.7511773000000003E-3</v>
      </c>
      <c r="AA27" s="282">
        <f>'Raw Data Input'!AC40</f>
        <v>1.7212509E-3</v>
      </c>
      <c r="AB27" s="282">
        <f>'Raw Data Input'!AD40</f>
        <v>3.0155210000000002E-3</v>
      </c>
      <c r="AC27" s="282">
        <f>'Raw Data Input'!AE40</f>
        <v>3.1030525E-3</v>
      </c>
      <c r="AD27" s="282">
        <f>'Raw Data Input'!AF40</f>
        <v>2.0176394E-3</v>
      </c>
      <c r="AE27" s="282">
        <f>'Raw Data Input'!AG40</f>
        <v>3.8979713000000002E-3</v>
      </c>
      <c r="AF27" s="282">
        <f>'Raw Data Input'!AH40</f>
        <v>2.5594102999999999E-3</v>
      </c>
      <c r="AG27" s="282"/>
    </row>
    <row r="28" spans="1:33" s="262" customFormat="1" x14ac:dyDescent="0.2">
      <c r="A28" s="198" t="s">
        <v>414</v>
      </c>
      <c r="B28" s="58"/>
      <c r="C28" s="279">
        <f>'Raw Data Input'!E43</f>
        <v>1.0076524</v>
      </c>
      <c r="D28" s="279">
        <f>'Raw Data Input'!F43</f>
        <v>1.008507</v>
      </c>
      <c r="E28" s="279">
        <f>'Raw Data Input'!G43</f>
        <v>1.0086257000000001</v>
      </c>
      <c r="F28" s="279">
        <f>'Raw Data Input'!H43</f>
        <v>1.0085025000000001</v>
      </c>
      <c r="G28" s="279">
        <f>'Raw Data Input'!I43</f>
        <v>1.0082939</v>
      </c>
      <c r="H28" s="279">
        <f>'Raw Data Input'!J43</f>
        <v>1.0091931000000001</v>
      </c>
      <c r="I28" s="279">
        <f>'Raw Data Input'!K43</f>
        <v>1.008623</v>
      </c>
      <c r="J28" s="279">
        <f>'Raw Data Input'!L43</f>
        <v>1.0085725999999999</v>
      </c>
      <c r="K28" s="279">
        <f>'Raw Data Input'!M43</f>
        <v>0.99099302</v>
      </c>
      <c r="L28" s="279">
        <f>'Raw Data Input'!N43</f>
        <v>0.99105087000000003</v>
      </c>
      <c r="M28" s="279">
        <f>'Raw Data Input'!O43</f>
        <v>0.99041358999999995</v>
      </c>
      <c r="N28" s="279">
        <f>'Raw Data Input'!P43</f>
        <v>0.99003817999999999</v>
      </c>
      <c r="O28" s="279">
        <f>'Raw Data Input'!Q43</f>
        <v>0.99303253999999996</v>
      </c>
      <c r="P28" s="279">
        <f>'Raw Data Input'!R43</f>
        <v>0.99164843999999996</v>
      </c>
      <c r="Q28" s="279">
        <f>'Raw Data Input'!S43</f>
        <v>0.99582696999999998</v>
      </c>
      <c r="R28" s="279">
        <f>'Raw Data Input'!T43</f>
        <v>0.99458391000000002</v>
      </c>
      <c r="S28" s="279">
        <f>'Raw Data Input'!U43</f>
        <v>0.99452547000000002</v>
      </c>
      <c r="T28" s="279">
        <f>'Raw Data Input'!V43</f>
        <v>0.99546237000000004</v>
      </c>
      <c r="U28" s="279">
        <f>'Raw Data Input'!W43</f>
        <v>0.99595867000000005</v>
      </c>
      <c r="V28" s="279">
        <f>'Raw Data Input'!X43</f>
        <v>0.99630233000000001</v>
      </c>
      <c r="W28" s="279">
        <f>'Raw Data Input'!Y43</f>
        <v>0.99639354999999996</v>
      </c>
      <c r="X28" s="279">
        <f>'Raw Data Input'!Z43</f>
        <v>0.99449958000000005</v>
      </c>
      <c r="Y28" s="279">
        <f>'Raw Data Input'!AA43</f>
        <v>0.99472430999999994</v>
      </c>
      <c r="Z28" s="279">
        <f>'Raw Data Input'!AB43</f>
        <v>0.99589165999999996</v>
      </c>
      <c r="AA28" s="279">
        <f>'Raw Data Input'!AC43</f>
        <v>1.0010779999999999</v>
      </c>
      <c r="AB28" s="279">
        <f>'Raw Data Input'!AD43</f>
        <v>0.99978931999999998</v>
      </c>
      <c r="AC28" s="279">
        <f>'Raw Data Input'!AE43</f>
        <v>1.0045641999999999</v>
      </c>
      <c r="AD28" s="279">
        <f>'Raw Data Input'!AF43</f>
        <v>0.99809784999999995</v>
      </c>
      <c r="AE28" s="279">
        <f>'Raw Data Input'!AG43</f>
        <v>0.99430552999999999</v>
      </c>
      <c r="AF28" s="279">
        <f>'Raw Data Input'!AH43</f>
        <v>1.0005165</v>
      </c>
      <c r="AG28" s="279"/>
    </row>
    <row r="29" spans="1:33" s="262" customFormat="1" x14ac:dyDescent="0.2">
      <c r="A29" s="44" t="s">
        <v>385</v>
      </c>
      <c r="B29" s="59"/>
      <c r="C29" s="282">
        <f>'Raw Data Input'!E44</f>
        <v>2.6286772999999999E-3</v>
      </c>
      <c r="D29" s="282">
        <f>'Raw Data Input'!F44</f>
        <v>2.5902656999999998E-3</v>
      </c>
      <c r="E29" s="282">
        <f>'Raw Data Input'!G44</f>
        <v>2.7639263E-3</v>
      </c>
      <c r="F29" s="282">
        <f>'Raw Data Input'!H44</f>
        <v>2.5084081000000002E-3</v>
      </c>
      <c r="G29" s="282">
        <f>'Raw Data Input'!I44</f>
        <v>4.0107789999999999E-3</v>
      </c>
      <c r="H29" s="282">
        <f>'Raw Data Input'!J44</f>
        <v>5.3323477000000001E-3</v>
      </c>
      <c r="I29" s="282">
        <f>'Raw Data Input'!K44</f>
        <v>2.1595119000000001E-3</v>
      </c>
      <c r="J29" s="282">
        <f>'Raw Data Input'!L44</f>
        <v>7.5254244999999999E-3</v>
      </c>
      <c r="K29" s="282">
        <f>'Raw Data Input'!M44</f>
        <v>2.5113053999999998E-3</v>
      </c>
      <c r="L29" s="282">
        <f>'Raw Data Input'!N44</f>
        <v>1.7799466999999999E-3</v>
      </c>
      <c r="M29" s="282">
        <f>'Raw Data Input'!O44</f>
        <v>1.2987289E-3</v>
      </c>
      <c r="N29" s="282">
        <f>'Raw Data Input'!P44</f>
        <v>2.1338499E-3</v>
      </c>
      <c r="O29" s="282">
        <f>'Raw Data Input'!Q44</f>
        <v>2.3646366E-3</v>
      </c>
      <c r="P29" s="282">
        <f>'Raw Data Input'!R44</f>
        <v>1.1796113E-2</v>
      </c>
      <c r="Q29" s="282">
        <f>'Raw Data Input'!S44</f>
        <v>1.7428093E-3</v>
      </c>
      <c r="R29" s="282">
        <f>'Raw Data Input'!T44</f>
        <v>3.1887475999999998E-3</v>
      </c>
      <c r="S29" s="282">
        <f>'Raw Data Input'!U44</f>
        <v>2.1767186E-3</v>
      </c>
      <c r="T29" s="282">
        <f>'Raw Data Input'!V44</f>
        <v>2.1937050999999998E-3</v>
      </c>
      <c r="U29" s="282">
        <f>'Raw Data Input'!W44</f>
        <v>2.9709760000000002E-3</v>
      </c>
      <c r="V29" s="282">
        <f>'Raw Data Input'!X44</f>
        <v>2.3227155000000001E-3</v>
      </c>
      <c r="W29" s="282">
        <f>'Raw Data Input'!Y44</f>
        <v>1.8108938000000001E-3</v>
      </c>
      <c r="X29" s="282">
        <f>'Raw Data Input'!Z44</f>
        <v>2.2507641000000002E-3</v>
      </c>
      <c r="Y29" s="282">
        <f>'Raw Data Input'!AA44</f>
        <v>1.9818716999999999E-3</v>
      </c>
      <c r="Z29" s="282">
        <f>'Raw Data Input'!AB44</f>
        <v>2.7179705999999999E-3</v>
      </c>
      <c r="AA29" s="282">
        <f>'Raw Data Input'!AC44</f>
        <v>2.1048159999999998E-3</v>
      </c>
      <c r="AB29" s="282">
        <f>'Raw Data Input'!AD44</f>
        <v>2.6476748999999999E-3</v>
      </c>
      <c r="AC29" s="282">
        <f>'Raw Data Input'!AE44</f>
        <v>2.6538008999999999E-3</v>
      </c>
      <c r="AD29" s="282">
        <f>'Raw Data Input'!AF44</f>
        <v>1.6220116E-3</v>
      </c>
      <c r="AE29" s="282">
        <f>'Raw Data Input'!AG44</f>
        <v>4.0278227000000002E-3</v>
      </c>
      <c r="AF29" s="282">
        <f>'Raw Data Input'!AH44</f>
        <v>2.5185730000000001E-3</v>
      </c>
      <c r="AG29" s="282"/>
    </row>
    <row r="30" spans="1:33" s="262" customFormat="1" x14ac:dyDescent="0.2">
      <c r="A30" s="198" t="s">
        <v>288</v>
      </c>
      <c r="B30" s="65"/>
      <c r="C30" s="279">
        <f>'Raw Data Input'!E47</f>
        <v>0.16822947999999999</v>
      </c>
      <c r="D30" s="279">
        <f>'Raw Data Input'!F47</f>
        <v>1.3406810999999999E-2</v>
      </c>
      <c r="E30" s="279">
        <f>'Raw Data Input'!G47</f>
        <v>2.5769411999999998E-2</v>
      </c>
      <c r="F30" s="279">
        <f>'Raw Data Input'!H47</f>
        <v>3.6340338999999999E-2</v>
      </c>
      <c r="G30" s="279">
        <f>'Raw Data Input'!I47</f>
        <v>3.5288567999999999E-2</v>
      </c>
      <c r="H30" s="279">
        <f>'Raw Data Input'!J47</f>
        <v>2.0607752E-2</v>
      </c>
      <c r="I30" s="279">
        <f>'Raw Data Input'!K47</f>
        <v>4.3116293E-2</v>
      </c>
      <c r="J30" s="279">
        <f>'Raw Data Input'!L47</f>
        <v>3.2063976000000001E-2</v>
      </c>
      <c r="K30" s="279">
        <f>'Raw Data Input'!M47</f>
        <v>0.79760876999999997</v>
      </c>
      <c r="L30" s="279">
        <f>'Raw Data Input'!N47</f>
        <v>0.77884165000000005</v>
      </c>
      <c r="M30" s="279">
        <f>'Raw Data Input'!O47</f>
        <v>0.86197246999999999</v>
      </c>
      <c r="N30" s="279">
        <f>'Raw Data Input'!P47</f>
        <v>0.92128615999999997</v>
      </c>
      <c r="O30" s="279">
        <f>'Raw Data Input'!Q47</f>
        <v>0.53100561000000002</v>
      </c>
      <c r="P30" s="279">
        <f>'Raw Data Input'!R47</f>
        <v>0.73668792000000005</v>
      </c>
      <c r="Q30" s="279">
        <f>'Raw Data Input'!S47</f>
        <v>0.12138098</v>
      </c>
      <c r="R30" s="279">
        <f>'Raw Data Input'!T47</f>
        <v>0.33088790000000001</v>
      </c>
      <c r="S30" s="279">
        <f>'Raw Data Input'!U47</f>
        <v>0.30793136999999998</v>
      </c>
      <c r="T30" s="279">
        <f>'Raw Data Input'!V47</f>
        <v>0.19225755999999999</v>
      </c>
      <c r="U30" s="279">
        <f>'Raw Data Input'!W47</f>
        <v>0.12009156999999999</v>
      </c>
      <c r="V30" s="279">
        <f>'Raw Data Input'!X47</f>
        <v>6.4663319999999996E-2</v>
      </c>
      <c r="W30" s="279">
        <f>'Raw Data Input'!Y47</f>
        <v>3.9395733000000002E-2</v>
      </c>
      <c r="X30" s="279">
        <f>'Raw Data Input'!Z47</f>
        <v>0.32020907999999998</v>
      </c>
      <c r="Y30" s="279">
        <f>'Raw Data Input'!AA47</f>
        <v>0.25830278000000001</v>
      </c>
      <c r="Z30" s="279">
        <f>'Raw Data Input'!AB47</f>
        <v>0.11382684999999999</v>
      </c>
      <c r="AA30" s="279">
        <f>'Raw Data Input'!AC47</f>
        <v>1.0912352000000001</v>
      </c>
      <c r="AB30" s="279">
        <f>'Raw Data Input'!AD47</f>
        <v>1.270813</v>
      </c>
      <c r="AC30" s="279">
        <f>'Raw Data Input'!AE47</f>
        <v>0.59536811000000001</v>
      </c>
      <c r="AD30" s="279">
        <f>'Raw Data Input'!AF47</f>
        <v>1.4770939999999999</v>
      </c>
      <c r="AE30" s="279">
        <f>'Raw Data Input'!AG47</f>
        <v>1.9969627000000001</v>
      </c>
      <c r="AF30" s="279">
        <f>'Raw Data Input'!AH47</f>
        <v>1.1726053999999999</v>
      </c>
      <c r="AG30" s="279"/>
    </row>
    <row r="31" spans="1:33" s="262" customFormat="1" x14ac:dyDescent="0.2">
      <c r="A31" s="44" t="s">
        <v>385</v>
      </c>
      <c r="B31" s="61"/>
      <c r="C31" s="282">
        <f>'Raw Data Input'!E48</f>
        <v>8.3066904000000004E-3</v>
      </c>
      <c r="D31" s="282">
        <f>'Raw Data Input'!F48</f>
        <v>8.1881768999999993E-2</v>
      </c>
      <c r="E31" s="282">
        <f>'Raw Data Input'!G48</f>
        <v>5.7972172000000002E-2</v>
      </c>
      <c r="F31" s="282">
        <f>'Raw Data Input'!H48</f>
        <v>3.5487369999999997E-2</v>
      </c>
      <c r="G31" s="282">
        <f>'Raw Data Input'!I48</f>
        <v>4.7789835000000003E-2</v>
      </c>
      <c r="H31" s="282">
        <f>'Raw Data Input'!J48</f>
        <v>0.17629634</v>
      </c>
      <c r="I31" s="282">
        <f>'Raw Data Input'!K48</f>
        <v>2.6089502000000001E-2</v>
      </c>
      <c r="J31" s="282">
        <f>'Raw Data Input'!L48</f>
        <v>0.14129583000000001</v>
      </c>
      <c r="K31" s="282">
        <f>'Raw Data Input'!M48</f>
        <v>4.2940130000000002E-3</v>
      </c>
      <c r="L31" s="282">
        <f>'Raw Data Input'!N48</f>
        <v>2.4791213E-3</v>
      </c>
      <c r="M31" s="282">
        <f>'Raw Data Input'!O48</f>
        <v>1.7617970000000001E-3</v>
      </c>
      <c r="N31" s="282">
        <f>'Raw Data Input'!P48</f>
        <v>3.1075573E-3</v>
      </c>
      <c r="O31" s="282">
        <f>'Raw Data Input'!Q48</f>
        <v>3.435839E-3</v>
      </c>
      <c r="P31" s="282">
        <f>'Raw Data Input'!R48</f>
        <v>1.3630042E-2</v>
      </c>
      <c r="Q31" s="282">
        <f>'Raw Data Input'!S48</f>
        <v>7.7188839E-3</v>
      </c>
      <c r="R31" s="282">
        <f>'Raw Data Input'!T48</f>
        <v>5.9562863000000004E-3</v>
      </c>
      <c r="S31" s="282">
        <f>'Raw Data Input'!U48</f>
        <v>5.5295657E-3</v>
      </c>
      <c r="T31" s="282">
        <f>'Raw Data Input'!V48</f>
        <v>5.2675778000000001E-3</v>
      </c>
      <c r="U31" s="282">
        <f>'Raw Data Input'!W48</f>
        <v>1.3400324E-2</v>
      </c>
      <c r="V31" s="282">
        <f>'Raw Data Input'!X48</f>
        <v>1.3713372E-2</v>
      </c>
      <c r="W31" s="282">
        <f>'Raw Data Input'!Y48</f>
        <v>1.1409911E-2</v>
      </c>
      <c r="X31" s="282">
        <f>'Raw Data Input'!Z48</f>
        <v>3.7706940000000002E-3</v>
      </c>
      <c r="Y31" s="282">
        <f>'Raw Data Input'!AA48</f>
        <v>3.8117375000000001E-3</v>
      </c>
      <c r="Z31" s="282">
        <f>'Raw Data Input'!AB48</f>
        <v>1.1296367E-2</v>
      </c>
      <c r="AA31" s="282">
        <f>'Raw Data Input'!AC48</f>
        <v>2.8989371999999999E-3</v>
      </c>
      <c r="AB31" s="282">
        <f>'Raw Data Input'!AD48</f>
        <v>3.3540107E-3</v>
      </c>
      <c r="AC31" s="282">
        <f>'Raw Data Input'!AE48</f>
        <v>4.0189676999999998E-3</v>
      </c>
      <c r="AD31" s="282">
        <f>'Raw Data Input'!AF48</f>
        <v>2.4587045000000001E-3</v>
      </c>
      <c r="AE31" s="282">
        <f>'Raw Data Input'!AG48</f>
        <v>4.4522008999999998E-3</v>
      </c>
      <c r="AF31" s="282">
        <f>'Raw Data Input'!AH48</f>
        <v>3.1246939999999999E-3</v>
      </c>
      <c r="AG31" s="282"/>
    </row>
    <row r="32" spans="1:33" s="7" customFormat="1" x14ac:dyDescent="0.2">
      <c r="A32" s="199"/>
      <c r="B32" s="222"/>
    </row>
    <row r="33" spans="1:33" s="3" customFormat="1" ht="18" x14ac:dyDescent="0.2">
      <c r="A33" s="1" t="s">
        <v>184</v>
      </c>
      <c r="B33" s="56"/>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2"/>
    </row>
    <row r="34" spans="1:33" s="18" customFormat="1" x14ac:dyDescent="0.2">
      <c r="A34" s="5" t="s">
        <v>182</v>
      </c>
      <c r="B34" s="84"/>
      <c r="C34" s="72">
        <f>C615/1000000</f>
        <v>115.57877063751221</v>
      </c>
      <c r="D34" s="72">
        <f t="shared" ref="D34:AF34" si="0">D615/1000000</f>
        <v>-3174.3007898330688</v>
      </c>
      <c r="E34" s="72">
        <f t="shared" si="0"/>
        <v>-166.88287258148193</v>
      </c>
      <c r="F34" s="72">
        <f t="shared" si="0"/>
        <v>154.11674976348877</v>
      </c>
      <c r="G34" s="72">
        <f t="shared" si="0"/>
        <v>-1099.1185903549194</v>
      </c>
      <c r="H34" s="72">
        <f t="shared" si="0"/>
        <v>106.41276836395264</v>
      </c>
      <c r="I34" s="72">
        <f t="shared" si="0"/>
        <v>-44.803023338317871</v>
      </c>
      <c r="J34" s="72">
        <f t="shared" si="0"/>
        <v>412.68527507781982</v>
      </c>
      <c r="K34" s="72">
        <f t="shared" si="0"/>
        <v>55.854916572570801</v>
      </c>
      <c r="L34" s="72">
        <f t="shared" si="0"/>
        <v>56.262612342834473</v>
      </c>
      <c r="M34" s="72">
        <f t="shared" si="0"/>
        <v>55.332779884338379</v>
      </c>
      <c r="N34" s="72">
        <f t="shared" si="0"/>
        <v>53.487420082092285</v>
      </c>
      <c r="O34" s="72">
        <f t="shared" si="0"/>
        <v>52.146315574645996</v>
      </c>
      <c r="P34" s="72">
        <f t="shared" si="0"/>
        <v>44.457316398620605</v>
      </c>
      <c r="Q34" s="72">
        <f t="shared" si="0"/>
        <v>18.450617790222168</v>
      </c>
      <c r="R34" s="72">
        <f t="shared" si="0"/>
        <v>-31.70311450958252</v>
      </c>
      <c r="S34" s="72">
        <f t="shared" si="0"/>
        <v>-14.014840126037598</v>
      </c>
      <c r="T34" s="72">
        <f t="shared" si="0"/>
        <v>5.5509805679321289</v>
      </c>
      <c r="U34" s="72">
        <f t="shared" si="0"/>
        <v>21.93748950958252</v>
      </c>
      <c r="V34" s="72">
        <f t="shared" si="0"/>
        <v>-86.523890495300293</v>
      </c>
      <c r="W34" s="72">
        <f t="shared" si="0"/>
        <v>-74.829459190368652</v>
      </c>
      <c r="X34" s="72">
        <f t="shared" si="0"/>
        <v>41.875243186950684</v>
      </c>
      <c r="Y34" s="72">
        <f t="shared" si="0"/>
        <v>44.650435447692871</v>
      </c>
      <c r="Z34" s="72">
        <f t="shared" si="0"/>
        <v>-0.36060810089111328</v>
      </c>
      <c r="AA34" s="72">
        <f t="shared" si="0"/>
        <v>2581.9104909896851</v>
      </c>
      <c r="AB34" s="72">
        <f t="shared" si="0"/>
        <v>2583.4006071090698</v>
      </c>
      <c r="AC34" s="72">
        <f t="shared" si="0"/>
        <v>2583.4947824478149</v>
      </c>
      <c r="AD34" s="72">
        <f t="shared" si="0"/>
        <v>2583.8381052017212</v>
      </c>
      <c r="AE34" s="72">
        <f t="shared" si="0"/>
        <v>2581.7602872848511</v>
      </c>
      <c r="AF34" s="72">
        <f t="shared" si="0"/>
        <v>2583.7916135787964</v>
      </c>
      <c r="AG34" s="17"/>
    </row>
    <row r="35" spans="1:33" s="18" customFormat="1" x14ac:dyDescent="0.2">
      <c r="A35" s="44" t="s">
        <v>387</v>
      </c>
      <c r="B35" s="200"/>
      <c r="C35" s="72">
        <f>(2*C619)/1000000</f>
        <v>65.057778159108707</v>
      </c>
      <c r="D35" s="72">
        <f t="shared" ref="D35:AF35" si="1">(2*D619)/1000000</f>
        <v>24138.206999805469</v>
      </c>
      <c r="E35" s="72">
        <f t="shared" si="1"/>
        <v>1098.3644956241633</v>
      </c>
      <c r="F35" s="72">
        <f t="shared" si="1"/>
        <v>1220.6642568465891</v>
      </c>
      <c r="G35" s="72">
        <f t="shared" si="1"/>
        <v>1743.1117818945399</v>
      </c>
      <c r="H35" s="72">
        <f t="shared" si="1"/>
        <v>1212.0887995456071</v>
      </c>
      <c r="I35" s="72">
        <f t="shared" si="1"/>
        <v>659.68845539459335</v>
      </c>
      <c r="J35" s="72">
        <f t="shared" si="1"/>
        <v>488.17554236394153</v>
      </c>
      <c r="K35" s="72">
        <f t="shared" si="1"/>
        <v>3.6881953277148209</v>
      </c>
      <c r="L35" s="72">
        <f t="shared" si="1"/>
        <v>6.3247313027655441</v>
      </c>
      <c r="M35" s="72">
        <f t="shared" si="1"/>
        <v>6.3400729101344204</v>
      </c>
      <c r="N35" s="72">
        <f t="shared" si="1"/>
        <v>5.0304370418369837</v>
      </c>
      <c r="O35" s="72">
        <f t="shared" si="1"/>
        <v>12.103209051089406</v>
      </c>
      <c r="P35" s="72">
        <f t="shared" si="1"/>
        <v>6.3924519399068425</v>
      </c>
      <c r="Q35" s="72">
        <f t="shared" si="1"/>
        <v>27.827407642173927</v>
      </c>
      <c r="R35" s="72">
        <f t="shared" si="1"/>
        <v>50.387043516952879</v>
      </c>
      <c r="S35" s="72">
        <f t="shared" si="1"/>
        <v>54.634016816243637</v>
      </c>
      <c r="T35" s="72">
        <f t="shared" si="1"/>
        <v>65.178113985472564</v>
      </c>
      <c r="U35" s="72">
        <f t="shared" si="1"/>
        <v>116.91016820922003</v>
      </c>
      <c r="V35" s="72">
        <f t="shared" si="1"/>
        <v>204.7959770131647</v>
      </c>
      <c r="W35" s="72">
        <f t="shared" si="1"/>
        <v>380.02741794874851</v>
      </c>
      <c r="X35" s="72">
        <f t="shared" si="1"/>
        <v>42.608762855975201</v>
      </c>
      <c r="Y35" s="72">
        <f t="shared" si="1"/>
        <v>78.462108311185574</v>
      </c>
      <c r="Z35" s="72">
        <f t="shared" si="1"/>
        <v>99.730987918245987</v>
      </c>
      <c r="AA35" s="72">
        <f t="shared" si="1"/>
        <v>0.67139293937096478</v>
      </c>
      <c r="AB35" s="72">
        <f t="shared" si="1"/>
        <v>0.67275810061018748</v>
      </c>
      <c r="AC35" s="72">
        <f t="shared" si="1"/>
        <v>0.67554380066341124</v>
      </c>
      <c r="AD35" s="72">
        <f t="shared" si="1"/>
        <v>0.67162202290574391</v>
      </c>
      <c r="AE35" s="72">
        <f t="shared" si="1"/>
        <v>0.66550439948198326</v>
      </c>
      <c r="AF35" s="72">
        <f t="shared" si="1"/>
        <v>0.65426651862481899</v>
      </c>
      <c r="AG35" s="17"/>
    </row>
    <row r="36" spans="1:33" s="18" customFormat="1" x14ac:dyDescent="0.2">
      <c r="A36" s="198" t="s">
        <v>178</v>
      </c>
      <c r="B36" s="200"/>
      <c r="C36" s="73">
        <f>(1/(C241*1000000))*LN(C69+1)</f>
        <v>83.54144967673453</v>
      </c>
      <c r="D36" s="73">
        <f t="shared" ref="D36:AF36" si="2">(1/(D241*1000000))*LN(D69+1)</f>
        <v>34.189749017001759</v>
      </c>
      <c r="E36" s="73">
        <f t="shared" si="2"/>
        <v>80.837716006427286</v>
      </c>
      <c r="F36" s="73">
        <f t="shared" si="2"/>
        <v>79.716811513610608</v>
      </c>
      <c r="G36" s="73">
        <f t="shared" si="2"/>
        <v>59.921641273803388</v>
      </c>
      <c r="H36" s="73">
        <f t="shared" si="2"/>
        <v>95.434854479689818</v>
      </c>
      <c r="I36" s="73">
        <f t="shared" si="2"/>
        <v>82.196172284249613</v>
      </c>
      <c r="J36" s="73">
        <f t="shared" si="2"/>
        <v>102.11859637264516</v>
      </c>
      <c r="K36" s="73">
        <f t="shared" si="2"/>
        <v>44.715138818739604</v>
      </c>
      <c r="L36" s="73">
        <f t="shared" si="2"/>
        <v>44.714792733807109</v>
      </c>
      <c r="M36" s="73">
        <f t="shared" si="2"/>
        <v>44.694948975797345</v>
      </c>
      <c r="N36" s="73">
        <f t="shared" si="2"/>
        <v>44.660738857144587</v>
      </c>
      <c r="O36" s="73">
        <f t="shared" si="2"/>
        <v>44.615706120451755</v>
      </c>
      <c r="P36" s="73">
        <f t="shared" si="2"/>
        <v>44.484797975892967</v>
      </c>
      <c r="Q36" s="73">
        <f t="shared" si="2"/>
        <v>43.954929673932369</v>
      </c>
      <c r="R36" s="73">
        <f t="shared" si="2"/>
        <v>27.720036004049547</v>
      </c>
      <c r="S36" s="73">
        <f t="shared" si="2"/>
        <v>27.918835588301953</v>
      </c>
      <c r="T36" s="73">
        <f t="shared" si="2"/>
        <v>28.00106561915814</v>
      </c>
      <c r="U36" s="73">
        <f t="shared" si="2"/>
        <v>28.185781809306604</v>
      </c>
      <c r="V36" s="73">
        <f t="shared" si="2"/>
        <v>26.873044871636242</v>
      </c>
      <c r="W36" s="73">
        <f t="shared" si="2"/>
        <v>26.999440836211921</v>
      </c>
      <c r="X36" s="73">
        <f t="shared" si="2"/>
        <v>28.650236865939721</v>
      </c>
      <c r="Y36" s="73">
        <f t="shared" si="2"/>
        <v>28.544093457970746</v>
      </c>
      <c r="Z36" s="73">
        <f t="shared" si="2"/>
        <v>27.950782205593807</v>
      </c>
      <c r="AA36" s="73">
        <f t="shared" si="2"/>
        <v>2577.7772393982664</v>
      </c>
      <c r="AB36" s="73">
        <f t="shared" si="2"/>
        <v>2581.079491717388</v>
      </c>
      <c r="AC36" s="73">
        <f t="shared" si="2"/>
        <v>2580.6758219025965</v>
      </c>
      <c r="AD36" s="73">
        <f t="shared" si="2"/>
        <v>2581.2726684086429</v>
      </c>
      <c r="AE36" s="73">
        <f t="shared" si="2"/>
        <v>2578.0874139751522</v>
      </c>
      <c r="AF36" s="73">
        <f t="shared" si="2"/>
        <v>2581.1327690390635</v>
      </c>
      <c r="AG36" s="17"/>
    </row>
    <row r="37" spans="1:33" s="18" customFormat="1" x14ac:dyDescent="0.2">
      <c r="A37" s="44" t="s">
        <v>387</v>
      </c>
      <c r="B37" s="200"/>
      <c r="C37" s="73">
        <f>(1/(C241*1000000))*((C70/100*C69)/(C69+1))</f>
        <v>2.2566970857956354</v>
      </c>
      <c r="D37" s="73">
        <f t="shared" ref="D37:AF37" si="3">(1/(D241*1000000))*((D70/100*D69)/(D69+1))</f>
        <v>161.38740698084959</v>
      </c>
      <c r="E37" s="73">
        <f t="shared" si="3"/>
        <v>34.524808955067037</v>
      </c>
      <c r="F37" s="73">
        <f t="shared" si="3"/>
        <v>39.871866017336195</v>
      </c>
      <c r="G37" s="73">
        <f t="shared" si="3"/>
        <v>33.691981018354731</v>
      </c>
      <c r="H37" s="73">
        <f t="shared" si="3"/>
        <v>46.933054055783359</v>
      </c>
      <c r="I37" s="73">
        <f t="shared" si="3"/>
        <v>21.645050055354371</v>
      </c>
      <c r="J37" s="73">
        <f t="shared" si="3"/>
        <v>21.320135269587205</v>
      </c>
      <c r="K37" s="73">
        <f t="shared" si="3"/>
        <v>8.8278519145874992E-2</v>
      </c>
      <c r="L37" s="73">
        <f t="shared" si="3"/>
        <v>0.1342880930305641</v>
      </c>
      <c r="M37" s="73">
        <f t="shared" si="3"/>
        <v>0.13509022806450527</v>
      </c>
      <c r="N37" s="73">
        <f t="shared" si="3"/>
        <v>0.11089274742298558</v>
      </c>
      <c r="O37" s="73">
        <f t="shared" si="3"/>
        <v>0.24418398949171272</v>
      </c>
      <c r="P37" s="73">
        <f t="shared" si="3"/>
        <v>0.13618390751313772</v>
      </c>
      <c r="Q37" s="73">
        <f t="shared" si="3"/>
        <v>0.53436819986602213</v>
      </c>
      <c r="R37" s="73">
        <f t="shared" si="3"/>
        <v>0.60449398821929234</v>
      </c>
      <c r="S37" s="73">
        <f t="shared" si="3"/>
        <v>0.66171627611250905</v>
      </c>
      <c r="T37" s="73">
        <f t="shared" si="3"/>
        <v>0.79211447606902941</v>
      </c>
      <c r="U37" s="73">
        <f t="shared" si="3"/>
        <v>1.4183975300930789</v>
      </c>
      <c r="V37" s="73">
        <f t="shared" si="3"/>
        <v>2.2822281661666448</v>
      </c>
      <c r="W37" s="73">
        <f t="shared" si="3"/>
        <v>4.2181047179728903</v>
      </c>
      <c r="X37" s="73">
        <f t="shared" si="3"/>
        <v>0.53715366937155329</v>
      </c>
      <c r="Y37" s="73">
        <f t="shared" si="3"/>
        <v>0.98443502515509373</v>
      </c>
      <c r="Z37" s="73">
        <f t="shared" si="3"/>
        <v>1.2004829749152219</v>
      </c>
      <c r="AA37" s="73">
        <f t="shared" si="3"/>
        <v>0.84716444230561327</v>
      </c>
      <c r="AB37" s="73">
        <f t="shared" si="3"/>
        <v>0.91399090721536602</v>
      </c>
      <c r="AC37" s="73">
        <f t="shared" si="3"/>
        <v>0.82610788460628692</v>
      </c>
      <c r="AD37" s="73">
        <f t="shared" si="3"/>
        <v>0.8321426577709663</v>
      </c>
      <c r="AE37" s="73">
        <f t="shared" si="3"/>
        <v>0.87238035001953429</v>
      </c>
      <c r="AF37" s="73">
        <f t="shared" si="3"/>
        <v>0.83446697143171444</v>
      </c>
      <c r="AG37" s="17"/>
    </row>
    <row r="38" spans="1:33" s="18" customFormat="1" x14ac:dyDescent="0.2">
      <c r="A38" s="198" t="s">
        <v>179</v>
      </c>
      <c r="B38" s="200"/>
      <c r="C38" s="73">
        <f>(1/(C242*1000000))*LN(C71+1)</f>
        <v>82.424867349455553</v>
      </c>
      <c r="D38" s="73">
        <f t="shared" ref="D38:AF38" si="4">(1/(D242*1000000))*LN(D71+1)</f>
        <v>89.162322075410628</v>
      </c>
      <c r="E38" s="73">
        <f t="shared" si="4"/>
        <v>89.452192119327265</v>
      </c>
      <c r="F38" s="73">
        <f t="shared" si="4"/>
        <v>77.255714227444216</v>
      </c>
      <c r="G38" s="73">
        <f t="shared" si="4"/>
        <v>92.237487080119379</v>
      </c>
      <c r="H38" s="73">
        <f t="shared" si="4"/>
        <v>94.996160083443399</v>
      </c>
      <c r="I38" s="73">
        <f t="shared" si="4"/>
        <v>86.629341239204692</v>
      </c>
      <c r="J38" s="73">
        <f t="shared" si="4"/>
        <v>89.299625587117404</v>
      </c>
      <c r="K38" s="73">
        <f t="shared" si="4"/>
        <v>44.50774249169163</v>
      </c>
      <c r="L38" s="73">
        <f t="shared" si="4"/>
        <v>44.499759457530075</v>
      </c>
      <c r="M38" s="73">
        <f t="shared" si="4"/>
        <v>44.496961590167508</v>
      </c>
      <c r="N38" s="73">
        <f t="shared" si="4"/>
        <v>44.496522600399203</v>
      </c>
      <c r="O38" s="73">
        <f t="shared" si="4"/>
        <v>44.47571115421276</v>
      </c>
      <c r="P38" s="73">
        <f t="shared" si="4"/>
        <v>44.485278774178212</v>
      </c>
      <c r="Q38" s="73">
        <f t="shared" si="4"/>
        <v>44.423640980626665</v>
      </c>
      <c r="R38" s="73">
        <f t="shared" si="4"/>
        <v>28.410125464570001</v>
      </c>
      <c r="S38" s="73">
        <f t="shared" si="4"/>
        <v>28.408339152991093</v>
      </c>
      <c r="T38" s="73">
        <f t="shared" si="4"/>
        <v>28.263328327454964</v>
      </c>
      <c r="U38" s="73">
        <f t="shared" si="4"/>
        <v>28.259130109374059</v>
      </c>
      <c r="V38" s="73">
        <f t="shared" si="4"/>
        <v>28.15715808033876</v>
      </c>
      <c r="W38" s="73">
        <f t="shared" si="4"/>
        <v>28.15651869780303</v>
      </c>
      <c r="X38" s="73">
        <f t="shared" si="4"/>
        <v>28.492796065477929</v>
      </c>
      <c r="Y38" s="73">
        <f t="shared" si="4"/>
        <v>28.353101500127096</v>
      </c>
      <c r="Z38" s="73">
        <f t="shared" si="4"/>
        <v>28.28115615398243</v>
      </c>
      <c r="AA38" s="73">
        <f t="shared" si="4"/>
        <v>2572.5231065116727</v>
      </c>
      <c r="AB38" s="73">
        <f t="shared" si="4"/>
        <v>2578.1236669057175</v>
      </c>
      <c r="AC38" s="73">
        <f t="shared" si="4"/>
        <v>2577.0876890815152</v>
      </c>
      <c r="AD38" s="73">
        <f t="shared" si="4"/>
        <v>2578.0065907457811</v>
      </c>
      <c r="AE38" s="73">
        <f t="shared" si="4"/>
        <v>2573.4182277589675</v>
      </c>
      <c r="AF38" s="73">
        <f t="shared" si="4"/>
        <v>2577.7473115733969</v>
      </c>
      <c r="AG38" s="17"/>
    </row>
    <row r="39" spans="1:33" s="18" customFormat="1" x14ac:dyDescent="0.2">
      <c r="A39" s="44" t="s">
        <v>387</v>
      </c>
      <c r="B39" s="200"/>
      <c r="C39" s="73">
        <f>(1/(C242*1000000))*((C72/100*C71)/(C71+1))</f>
        <v>0.40555991233304528</v>
      </c>
      <c r="D39" s="73">
        <f t="shared" ref="D39:AF39" si="5">(1/(D242*1000000))*((D72/100*D71)/(D71+1))</f>
        <v>5.1859605104184867</v>
      </c>
      <c r="E39" s="73">
        <f t="shared" si="5"/>
        <v>3.8543475025257812</v>
      </c>
      <c r="F39" s="73">
        <f t="shared" si="5"/>
        <v>7.4537760439312351</v>
      </c>
      <c r="G39" s="73">
        <f t="shared" si="5"/>
        <v>5.2055356216640298</v>
      </c>
      <c r="H39" s="73">
        <f t="shared" si="5"/>
        <v>5.5668966313285821</v>
      </c>
      <c r="I39" s="73">
        <f t="shared" si="5"/>
        <v>2.6555158275921857</v>
      </c>
      <c r="J39" s="73">
        <f t="shared" si="5"/>
        <v>3.1945249228785988</v>
      </c>
      <c r="K39" s="73">
        <f t="shared" si="5"/>
        <v>2.9066451748547762E-2</v>
      </c>
      <c r="L39" s="73">
        <f t="shared" si="5"/>
        <v>3.0914032395177444E-2</v>
      </c>
      <c r="M39" s="73">
        <f t="shared" si="5"/>
        <v>3.270404241164232E-2</v>
      </c>
      <c r="N39" s="73">
        <f t="shared" si="5"/>
        <v>3.0111903357032857E-2</v>
      </c>
      <c r="O39" s="73">
        <f t="shared" si="5"/>
        <v>3.5501811909078036E-2</v>
      </c>
      <c r="P39" s="73">
        <f t="shared" si="5"/>
        <v>3.7219504847477478E-2</v>
      </c>
      <c r="Q39" s="73">
        <f t="shared" si="5"/>
        <v>5.9667917479759455E-2</v>
      </c>
      <c r="R39" s="73">
        <f t="shared" si="5"/>
        <v>4.8358445701628915E-2</v>
      </c>
      <c r="S39" s="73">
        <f t="shared" si="5"/>
        <v>5.3808535835090633E-2</v>
      </c>
      <c r="T39" s="73">
        <f t="shared" si="5"/>
        <v>5.9486666972701781E-2</v>
      </c>
      <c r="U39" s="73">
        <f t="shared" si="5"/>
        <v>9.8097797146001628E-2</v>
      </c>
      <c r="V39" s="73">
        <f t="shared" si="5"/>
        <v>0.12865539363306674</v>
      </c>
      <c r="W39" s="73">
        <f t="shared" si="5"/>
        <v>0.18988663008821022</v>
      </c>
      <c r="X39" s="73">
        <f t="shared" si="5"/>
        <v>4.6226374503450969E-2</v>
      </c>
      <c r="Y39" s="73">
        <f t="shared" si="5"/>
        <v>7.9031086206661064E-2</v>
      </c>
      <c r="Z39" s="73">
        <f t="shared" si="5"/>
        <v>8.8551123994057054E-2</v>
      </c>
      <c r="AA39" s="73">
        <f t="shared" si="5"/>
        <v>1.2339334557210084</v>
      </c>
      <c r="AB39" s="73">
        <f t="shared" si="5"/>
        <v>1.4608421096693078</v>
      </c>
      <c r="AC39" s="73">
        <f t="shared" si="5"/>
        <v>1.1555975707250548</v>
      </c>
      <c r="AD39" s="73">
        <f t="shared" si="5"/>
        <v>1.1792663229671045</v>
      </c>
      <c r="AE39" s="73">
        <f t="shared" si="5"/>
        <v>1.3231853436613004</v>
      </c>
      <c r="AF39" s="73">
        <f t="shared" si="5"/>
        <v>1.1943637361965724</v>
      </c>
      <c r="AG39" s="17"/>
    </row>
    <row r="40" spans="1:33" x14ac:dyDescent="0.2">
      <c r="A40" s="44"/>
      <c r="B40" s="210"/>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19"/>
    </row>
    <row r="41" spans="1:33" ht="18" x14ac:dyDescent="0.2">
      <c r="A41" s="1" t="s">
        <v>434</v>
      </c>
    </row>
    <row r="42" spans="1:33" s="268" customFormat="1" x14ac:dyDescent="0.2">
      <c r="A42" s="198" t="s">
        <v>375</v>
      </c>
      <c r="B42" s="58"/>
      <c r="C42" s="267">
        <f>'Raw Data Input'!$AT57</f>
        <v>3</v>
      </c>
      <c r="D42" s="267">
        <f>'Raw Data Input'!$AT57</f>
        <v>3</v>
      </c>
      <c r="E42" s="267">
        <f>'Raw Data Input'!$AT57</f>
        <v>3</v>
      </c>
      <c r="F42" s="267">
        <f>'Raw Data Input'!$AT57</f>
        <v>3</v>
      </c>
      <c r="G42" s="267">
        <f>'Raw Data Input'!$AT57</f>
        <v>3</v>
      </c>
      <c r="H42" s="267">
        <f>'Raw Data Input'!$AT57</f>
        <v>3</v>
      </c>
      <c r="I42" s="267">
        <f>'Raw Data Input'!$AT57</f>
        <v>3</v>
      </c>
      <c r="J42" s="267">
        <f>'Raw Data Input'!$AT57</f>
        <v>3</v>
      </c>
      <c r="K42" s="267">
        <f>'Raw Data Input'!$AT57</f>
        <v>3</v>
      </c>
      <c r="L42" s="267">
        <f>'Raw Data Input'!$AT57</f>
        <v>3</v>
      </c>
      <c r="M42" s="267">
        <f>'Raw Data Input'!$AT57</f>
        <v>3</v>
      </c>
      <c r="N42" s="267">
        <f>'Raw Data Input'!$AT57</f>
        <v>3</v>
      </c>
      <c r="O42" s="267">
        <f>'Raw Data Input'!$AT57</f>
        <v>3</v>
      </c>
      <c r="P42" s="267">
        <f>'Raw Data Input'!$AT57</f>
        <v>3</v>
      </c>
      <c r="Q42" s="267">
        <f>'Raw Data Input'!$AT57</f>
        <v>3</v>
      </c>
      <c r="R42" s="267">
        <f>'Raw Data Input'!$AT57</f>
        <v>3</v>
      </c>
      <c r="S42" s="267">
        <f>'Raw Data Input'!$AT57</f>
        <v>3</v>
      </c>
      <c r="T42" s="267">
        <f>'Raw Data Input'!$AT57</f>
        <v>3</v>
      </c>
      <c r="U42" s="267">
        <f>'Raw Data Input'!$AT57</f>
        <v>3</v>
      </c>
      <c r="V42" s="267">
        <f>'Raw Data Input'!$AT57</f>
        <v>3</v>
      </c>
      <c r="W42" s="267">
        <f>'Raw Data Input'!$AT57</f>
        <v>3</v>
      </c>
      <c r="X42" s="267">
        <f>'Raw Data Input'!$AT57</f>
        <v>3</v>
      </c>
      <c r="Y42" s="267">
        <f>'Raw Data Input'!$AT57</f>
        <v>3</v>
      </c>
      <c r="Z42" s="267">
        <f>'Raw Data Input'!$AT57</f>
        <v>3</v>
      </c>
      <c r="AA42" s="267">
        <f>'Raw Data Input'!$AT57</f>
        <v>3</v>
      </c>
      <c r="AB42" s="267">
        <f>'Raw Data Input'!$AT57</f>
        <v>3</v>
      </c>
      <c r="AC42" s="267">
        <f>'Raw Data Input'!$AT57</f>
        <v>3</v>
      </c>
      <c r="AD42" s="267">
        <f>'Raw Data Input'!$AT57</f>
        <v>3</v>
      </c>
      <c r="AE42" s="267">
        <f>'Raw Data Input'!$AT57</f>
        <v>3</v>
      </c>
      <c r="AF42" s="267">
        <f>'Raw Data Input'!$AT57</f>
        <v>3</v>
      </c>
      <c r="AG42" s="267"/>
    </row>
    <row r="43" spans="1:33" s="268" customFormat="1" x14ac:dyDescent="0.2">
      <c r="A43" s="198" t="s">
        <v>11</v>
      </c>
      <c r="B43" s="58"/>
      <c r="C43" s="267">
        <f>'Raw Data Input'!$AT58</f>
        <v>1</v>
      </c>
      <c r="D43" s="267">
        <f>'Raw Data Input'!$AT58</f>
        <v>1</v>
      </c>
      <c r="E43" s="267">
        <f>'Raw Data Input'!$AT58</f>
        <v>1</v>
      </c>
      <c r="F43" s="267">
        <f>'Raw Data Input'!$AT58</f>
        <v>1</v>
      </c>
      <c r="G43" s="267">
        <f>'Raw Data Input'!$AT58</f>
        <v>1</v>
      </c>
      <c r="H43" s="267">
        <f>'Raw Data Input'!$AT58</f>
        <v>1</v>
      </c>
      <c r="I43" s="267">
        <f>'Raw Data Input'!$AT58</f>
        <v>1</v>
      </c>
      <c r="J43" s="267">
        <f>'Raw Data Input'!$AT58</f>
        <v>1</v>
      </c>
      <c r="K43" s="267">
        <f>'Raw Data Input'!$AT58</f>
        <v>1</v>
      </c>
      <c r="L43" s="267">
        <f>'Raw Data Input'!$AT58</f>
        <v>1</v>
      </c>
      <c r="M43" s="267">
        <f>'Raw Data Input'!$AT58</f>
        <v>1</v>
      </c>
      <c r="N43" s="267">
        <f>'Raw Data Input'!$AT58</f>
        <v>1</v>
      </c>
      <c r="O43" s="267">
        <f>'Raw Data Input'!$AT58</f>
        <v>1</v>
      </c>
      <c r="P43" s="267">
        <f>'Raw Data Input'!$AT58</f>
        <v>1</v>
      </c>
      <c r="Q43" s="267">
        <f>'Raw Data Input'!$AT58</f>
        <v>1</v>
      </c>
      <c r="R43" s="267">
        <f>'Raw Data Input'!$AT58</f>
        <v>1</v>
      </c>
      <c r="S43" s="267">
        <f>'Raw Data Input'!$AT58</f>
        <v>1</v>
      </c>
      <c r="T43" s="267">
        <f>'Raw Data Input'!$AT58</f>
        <v>1</v>
      </c>
      <c r="U43" s="267">
        <f>'Raw Data Input'!$AT58</f>
        <v>1</v>
      </c>
      <c r="V43" s="267">
        <f>'Raw Data Input'!$AT58</f>
        <v>1</v>
      </c>
      <c r="W43" s="267">
        <f>'Raw Data Input'!$AT58</f>
        <v>1</v>
      </c>
      <c r="X43" s="267">
        <f>'Raw Data Input'!$AT58</f>
        <v>1</v>
      </c>
      <c r="Y43" s="267">
        <f>'Raw Data Input'!$AT58</f>
        <v>1</v>
      </c>
      <c r="Z43" s="267">
        <f>'Raw Data Input'!$AT58</f>
        <v>1</v>
      </c>
      <c r="AA43" s="267">
        <f>'Raw Data Input'!$AT58</f>
        <v>1</v>
      </c>
      <c r="AB43" s="267">
        <f>'Raw Data Input'!$AT58</f>
        <v>1</v>
      </c>
      <c r="AC43" s="267">
        <f>'Raw Data Input'!$AT58</f>
        <v>1</v>
      </c>
      <c r="AD43" s="267">
        <f>'Raw Data Input'!$AT58</f>
        <v>1</v>
      </c>
      <c r="AE43" s="267">
        <f>'Raw Data Input'!$AT58</f>
        <v>1</v>
      </c>
      <c r="AF43" s="267">
        <f>'Raw Data Input'!$AT58</f>
        <v>1</v>
      </c>
      <c r="AG43" s="267"/>
    </row>
    <row r="44" spans="1:33" s="201" customFormat="1" x14ac:dyDescent="0.2">
      <c r="A44" s="5" t="s">
        <v>182</v>
      </c>
      <c r="B44" s="84"/>
      <c r="C44" s="17">
        <f>C822/1000000</f>
        <v>113.10756206512451</v>
      </c>
      <c r="D44" s="17">
        <f t="shared" ref="D44:AF44" si="6">D822/1000000</f>
        <v>-3179.1824102401733</v>
      </c>
      <c r="E44" s="17">
        <f t="shared" si="6"/>
        <v>-169.28613185882568</v>
      </c>
      <c r="F44" s="17">
        <f t="shared" si="6"/>
        <v>151.49533748626709</v>
      </c>
      <c r="G44" s="17">
        <f t="shared" si="6"/>
        <v>-1101.9545793533325</v>
      </c>
      <c r="H44" s="17">
        <f t="shared" si="6"/>
        <v>104.26342487335205</v>
      </c>
      <c r="I44" s="17">
        <f t="shared" si="6"/>
        <v>-47.227740287780762</v>
      </c>
      <c r="J44" s="17">
        <f t="shared" si="6"/>
        <v>410.52162647247314</v>
      </c>
      <c r="K44" s="17">
        <f t="shared" si="6"/>
        <v>51.209330558776855</v>
      </c>
      <c r="L44" s="17">
        <f t="shared" si="6"/>
        <v>51.620602607727051</v>
      </c>
      <c r="M44" s="17">
        <f t="shared" si="6"/>
        <v>50.687193870544434</v>
      </c>
      <c r="N44" s="17">
        <f t="shared" si="6"/>
        <v>48.84183406829834</v>
      </c>
      <c r="O44" s="17">
        <f t="shared" si="6"/>
        <v>47.497153282165527</v>
      </c>
      <c r="P44" s="17">
        <f t="shared" si="6"/>
        <v>39.80100154876709</v>
      </c>
      <c r="Q44" s="17">
        <f t="shared" si="6"/>
        <v>13.765692710876465</v>
      </c>
      <c r="R44" s="17">
        <f t="shared" si="6"/>
        <v>-39.109587669372559</v>
      </c>
      <c r="S44" s="17">
        <f t="shared" si="6"/>
        <v>-21.392703056335449</v>
      </c>
      <c r="T44" s="17">
        <f t="shared" si="6"/>
        <v>-1.837611198425293</v>
      </c>
      <c r="U44" s="17">
        <f t="shared" si="6"/>
        <v>14.570355415344238</v>
      </c>
      <c r="V44" s="17">
        <f t="shared" si="6"/>
        <v>-94.07341480255127</v>
      </c>
      <c r="W44" s="17">
        <f t="shared" si="6"/>
        <v>-82.361102104187012</v>
      </c>
      <c r="X44" s="17">
        <f t="shared" si="6"/>
        <v>34.593939781188965</v>
      </c>
      <c r="Y44" s="17">
        <f t="shared" si="6"/>
        <v>37.336945533752441</v>
      </c>
      <c r="Z44" s="17">
        <f t="shared" si="6"/>
        <v>-7.7527761459350586</v>
      </c>
      <c r="AA44" s="17">
        <f t="shared" si="6"/>
        <v>2581.8651914596558</v>
      </c>
      <c r="AB44" s="17">
        <f t="shared" si="6"/>
        <v>2583.3553075790405</v>
      </c>
      <c r="AC44" s="17">
        <f t="shared" si="6"/>
        <v>2583.4482908248901</v>
      </c>
      <c r="AD44" s="17">
        <f t="shared" si="6"/>
        <v>2583.7916135787964</v>
      </c>
      <c r="AE44" s="17">
        <f t="shared" si="6"/>
        <v>2581.7137956619263</v>
      </c>
      <c r="AF44" s="17">
        <f t="shared" si="6"/>
        <v>2583.7463140487671</v>
      </c>
      <c r="AG44" s="17"/>
    </row>
    <row r="45" spans="1:33" s="201" customFormat="1" x14ac:dyDescent="0.2">
      <c r="A45" s="6" t="s">
        <v>435</v>
      </c>
      <c r="B45" s="84"/>
      <c r="C45" s="17">
        <f>C35</f>
        <v>65.057778159108707</v>
      </c>
      <c r="D45" s="17">
        <f t="shared" ref="D45:AF45" si="7">D35</f>
        <v>24138.206999805469</v>
      </c>
      <c r="E45" s="17">
        <f t="shared" si="7"/>
        <v>1098.3644956241633</v>
      </c>
      <c r="F45" s="17">
        <f t="shared" si="7"/>
        <v>1220.6642568465891</v>
      </c>
      <c r="G45" s="17">
        <f t="shared" si="7"/>
        <v>1743.1117818945399</v>
      </c>
      <c r="H45" s="17">
        <f t="shared" si="7"/>
        <v>1212.0887995456071</v>
      </c>
      <c r="I45" s="17">
        <f t="shared" si="7"/>
        <v>659.68845539459335</v>
      </c>
      <c r="J45" s="17">
        <f t="shared" si="7"/>
        <v>488.17554236394153</v>
      </c>
      <c r="K45" s="17">
        <f t="shared" si="7"/>
        <v>3.6881953277148209</v>
      </c>
      <c r="L45" s="17">
        <f t="shared" si="7"/>
        <v>6.3247313027655441</v>
      </c>
      <c r="M45" s="17">
        <f t="shared" si="7"/>
        <v>6.3400729101344204</v>
      </c>
      <c r="N45" s="17">
        <f t="shared" si="7"/>
        <v>5.0304370418369837</v>
      </c>
      <c r="O45" s="17">
        <f t="shared" si="7"/>
        <v>12.103209051089406</v>
      </c>
      <c r="P45" s="17">
        <f t="shared" si="7"/>
        <v>6.3924519399068425</v>
      </c>
      <c r="Q45" s="17">
        <f t="shared" si="7"/>
        <v>27.827407642173927</v>
      </c>
      <c r="R45" s="17">
        <f t="shared" si="7"/>
        <v>50.387043516952879</v>
      </c>
      <c r="S45" s="17">
        <f t="shared" si="7"/>
        <v>54.634016816243637</v>
      </c>
      <c r="T45" s="17">
        <f t="shared" si="7"/>
        <v>65.178113985472564</v>
      </c>
      <c r="U45" s="17">
        <f t="shared" si="7"/>
        <v>116.91016820922003</v>
      </c>
      <c r="V45" s="17">
        <f t="shared" si="7"/>
        <v>204.7959770131647</v>
      </c>
      <c r="W45" s="17">
        <f t="shared" si="7"/>
        <v>380.02741794874851</v>
      </c>
      <c r="X45" s="17">
        <f t="shared" si="7"/>
        <v>42.608762855975201</v>
      </c>
      <c r="Y45" s="17">
        <f t="shared" si="7"/>
        <v>78.462108311185574</v>
      </c>
      <c r="Z45" s="17">
        <f t="shared" si="7"/>
        <v>99.730987918245987</v>
      </c>
      <c r="AA45" s="17">
        <f t="shared" si="7"/>
        <v>0.67139293937096478</v>
      </c>
      <c r="AB45" s="17">
        <f t="shared" si="7"/>
        <v>0.67275810061018748</v>
      </c>
      <c r="AC45" s="17">
        <f t="shared" si="7"/>
        <v>0.67554380066341124</v>
      </c>
      <c r="AD45" s="17">
        <f t="shared" si="7"/>
        <v>0.67162202290574391</v>
      </c>
      <c r="AE45" s="17">
        <f t="shared" si="7"/>
        <v>0.66550439948198326</v>
      </c>
      <c r="AF45" s="17">
        <f t="shared" si="7"/>
        <v>0.65426651862481899</v>
      </c>
      <c r="AG45" s="17"/>
    </row>
    <row r="46" spans="1:33" s="201" customFormat="1" x14ac:dyDescent="0.2">
      <c r="A46" s="5" t="s">
        <v>178</v>
      </c>
      <c r="B46" s="84"/>
      <c r="C46" s="54">
        <f>C36</f>
        <v>83.54144967673453</v>
      </c>
      <c r="D46" s="54">
        <f t="shared" ref="D46:AF46" si="8">D36</f>
        <v>34.189749017001759</v>
      </c>
      <c r="E46" s="54">
        <f t="shared" si="8"/>
        <v>80.837716006427286</v>
      </c>
      <c r="F46" s="54">
        <f t="shared" si="8"/>
        <v>79.716811513610608</v>
      </c>
      <c r="G46" s="54">
        <f t="shared" si="8"/>
        <v>59.921641273803388</v>
      </c>
      <c r="H46" s="54">
        <f t="shared" si="8"/>
        <v>95.434854479689818</v>
      </c>
      <c r="I46" s="54">
        <f t="shared" si="8"/>
        <v>82.196172284249613</v>
      </c>
      <c r="J46" s="54">
        <f t="shared" si="8"/>
        <v>102.11859637264516</v>
      </c>
      <c r="K46" s="54">
        <f t="shared" si="8"/>
        <v>44.715138818739604</v>
      </c>
      <c r="L46" s="54">
        <f t="shared" si="8"/>
        <v>44.714792733807109</v>
      </c>
      <c r="M46" s="54">
        <f t="shared" si="8"/>
        <v>44.694948975797345</v>
      </c>
      <c r="N46" s="54">
        <f t="shared" si="8"/>
        <v>44.660738857144587</v>
      </c>
      <c r="O46" s="54">
        <f t="shared" si="8"/>
        <v>44.615706120451755</v>
      </c>
      <c r="P46" s="54">
        <f t="shared" si="8"/>
        <v>44.484797975892967</v>
      </c>
      <c r="Q46" s="54">
        <f t="shared" si="8"/>
        <v>43.954929673932369</v>
      </c>
      <c r="R46" s="54">
        <f t="shared" si="8"/>
        <v>27.720036004049547</v>
      </c>
      <c r="S46" s="54">
        <f t="shared" si="8"/>
        <v>27.918835588301953</v>
      </c>
      <c r="T46" s="54">
        <f t="shared" si="8"/>
        <v>28.00106561915814</v>
      </c>
      <c r="U46" s="54">
        <f t="shared" si="8"/>
        <v>28.185781809306604</v>
      </c>
      <c r="V46" s="54">
        <f t="shared" si="8"/>
        <v>26.873044871636242</v>
      </c>
      <c r="W46" s="54">
        <f t="shared" si="8"/>
        <v>26.999440836211921</v>
      </c>
      <c r="X46" s="54">
        <f t="shared" si="8"/>
        <v>28.650236865939721</v>
      </c>
      <c r="Y46" s="54">
        <f t="shared" si="8"/>
        <v>28.544093457970746</v>
      </c>
      <c r="Z46" s="54">
        <f t="shared" si="8"/>
        <v>27.950782205593807</v>
      </c>
      <c r="AA46" s="54">
        <f t="shared" si="8"/>
        <v>2577.7772393982664</v>
      </c>
      <c r="AB46" s="54">
        <f t="shared" si="8"/>
        <v>2581.079491717388</v>
      </c>
      <c r="AC46" s="54">
        <f t="shared" si="8"/>
        <v>2580.6758219025965</v>
      </c>
      <c r="AD46" s="54">
        <f t="shared" si="8"/>
        <v>2581.2726684086429</v>
      </c>
      <c r="AE46" s="54">
        <f t="shared" si="8"/>
        <v>2578.0874139751522</v>
      </c>
      <c r="AF46" s="54">
        <f t="shared" si="8"/>
        <v>2581.1327690390635</v>
      </c>
      <c r="AG46" s="54"/>
    </row>
    <row r="47" spans="1:33" s="201" customFormat="1" x14ac:dyDescent="0.2">
      <c r="A47" s="6" t="s">
        <v>435</v>
      </c>
      <c r="B47" s="84"/>
      <c r="C47" s="54">
        <f>C37</f>
        <v>2.2566970857956354</v>
      </c>
      <c r="D47" s="54">
        <f t="shared" ref="D47:AF47" si="9">D37</f>
        <v>161.38740698084959</v>
      </c>
      <c r="E47" s="54">
        <f t="shared" si="9"/>
        <v>34.524808955067037</v>
      </c>
      <c r="F47" s="54">
        <f t="shared" si="9"/>
        <v>39.871866017336195</v>
      </c>
      <c r="G47" s="54">
        <f t="shared" si="9"/>
        <v>33.691981018354731</v>
      </c>
      <c r="H47" s="54">
        <f t="shared" si="9"/>
        <v>46.933054055783359</v>
      </c>
      <c r="I47" s="54">
        <f t="shared" si="9"/>
        <v>21.645050055354371</v>
      </c>
      <c r="J47" s="54">
        <f t="shared" si="9"/>
        <v>21.320135269587205</v>
      </c>
      <c r="K47" s="54">
        <f t="shared" si="9"/>
        <v>8.8278519145874992E-2</v>
      </c>
      <c r="L47" s="54">
        <f t="shared" si="9"/>
        <v>0.1342880930305641</v>
      </c>
      <c r="M47" s="54">
        <f t="shared" si="9"/>
        <v>0.13509022806450527</v>
      </c>
      <c r="N47" s="54">
        <f t="shared" si="9"/>
        <v>0.11089274742298558</v>
      </c>
      <c r="O47" s="54">
        <f t="shared" si="9"/>
        <v>0.24418398949171272</v>
      </c>
      <c r="P47" s="54">
        <f t="shared" si="9"/>
        <v>0.13618390751313772</v>
      </c>
      <c r="Q47" s="54">
        <f t="shared" si="9"/>
        <v>0.53436819986602213</v>
      </c>
      <c r="R47" s="54">
        <f t="shared" si="9"/>
        <v>0.60449398821929234</v>
      </c>
      <c r="S47" s="54">
        <f t="shared" si="9"/>
        <v>0.66171627611250905</v>
      </c>
      <c r="T47" s="54">
        <f t="shared" si="9"/>
        <v>0.79211447606902941</v>
      </c>
      <c r="U47" s="54">
        <f t="shared" si="9"/>
        <v>1.4183975300930789</v>
      </c>
      <c r="V47" s="54">
        <f t="shared" si="9"/>
        <v>2.2822281661666448</v>
      </c>
      <c r="W47" s="54">
        <f t="shared" si="9"/>
        <v>4.2181047179728903</v>
      </c>
      <c r="X47" s="54">
        <f t="shared" si="9"/>
        <v>0.53715366937155329</v>
      </c>
      <c r="Y47" s="54">
        <f t="shared" si="9"/>
        <v>0.98443502515509373</v>
      </c>
      <c r="Z47" s="54">
        <f t="shared" si="9"/>
        <v>1.2004829749152219</v>
      </c>
      <c r="AA47" s="54">
        <f t="shared" si="9"/>
        <v>0.84716444230561327</v>
      </c>
      <c r="AB47" s="54">
        <f t="shared" si="9"/>
        <v>0.91399090721536602</v>
      </c>
      <c r="AC47" s="54">
        <f t="shared" si="9"/>
        <v>0.82610788460628692</v>
      </c>
      <c r="AD47" s="54">
        <f t="shared" si="9"/>
        <v>0.8321426577709663</v>
      </c>
      <c r="AE47" s="54">
        <f t="shared" si="9"/>
        <v>0.87238035001953429</v>
      </c>
      <c r="AF47" s="54">
        <f t="shared" si="9"/>
        <v>0.83446697143171444</v>
      </c>
      <c r="AG47" s="54"/>
    </row>
    <row r="48" spans="1:33" s="201" customFormat="1" x14ac:dyDescent="0.2">
      <c r="A48" s="5" t="s">
        <v>179</v>
      </c>
      <c r="B48" s="84"/>
      <c r="C48" s="54">
        <f>IF('Raw Data Input'!$AT$56="t75",(IF('Raw Data Input'!$AT$54="magma",'Data Reduction Engine'!C680,'Data Reduction Engine'!C685)),(IF('Raw Data Input'!$AT$54="magma",'Data Reduction Engine'!C711,'Data Reduction Engine'!C717)))</f>
        <v>82.510765220932356</v>
      </c>
      <c r="D48" s="54">
        <f>IF('Raw Data Input'!$AT$56="t75",(IF('Raw Data Input'!$AT$54="magma",'Data Reduction Engine'!D680,'Data Reduction Engine'!D685)),(IF('Raw Data Input'!$AT$54="magma",'Data Reduction Engine'!D711,'Data Reduction Engine'!D717)))</f>
        <v>89.248130218423114</v>
      </c>
      <c r="E48" s="54">
        <f>IF('Raw Data Input'!$AT$56="t75",(IF('Raw Data Input'!$AT$54="magma",'Data Reduction Engine'!E680,'Data Reduction Engine'!E685)),(IF('Raw Data Input'!$AT$54="magma",'Data Reduction Engine'!E711,'Data Reduction Engine'!E717)))</f>
        <v>89.537996403995436</v>
      </c>
      <c r="F48" s="54">
        <f>IF('Raw Data Input'!$AT$56="t75",(IF('Raw Data Input'!$AT$54="magma",'Data Reduction Engine'!F680,'Data Reduction Engine'!F685)),(IF('Raw Data Input'!$AT$54="magma",'Data Reduction Engine'!F711,'Data Reduction Engine'!F717)))</f>
        <v>77.34168100457083</v>
      </c>
      <c r="G48" s="54">
        <f>IF('Raw Data Input'!$AT$56="t75",(IF('Raw Data Input'!$AT$54="magma",'Data Reduction Engine'!G680,'Data Reduction Engine'!G685)),(IF('Raw Data Input'!$AT$54="magma",'Data Reduction Engine'!G711,'Data Reduction Engine'!G717)))</f>
        <v>92.323254299680855</v>
      </c>
      <c r="H48" s="54">
        <f>IF('Raw Data Input'!$AT$56="t75",(IF('Raw Data Input'!$AT$54="magma",'Data Reduction Engine'!H680,'Data Reduction Engine'!H685)),(IF('Raw Data Input'!$AT$54="magma",'Data Reduction Engine'!H711,'Data Reduction Engine'!H717)))</f>
        <v>95.081890607950086</v>
      </c>
      <c r="I48" s="54">
        <f>IF('Raw Data Input'!$AT$56="t75",(IF('Raw Data Input'!$AT$54="magma",'Data Reduction Engine'!I680,'Data Reduction Engine'!I685)),(IF('Raw Data Input'!$AT$54="magma",'Data Reduction Engine'!I711,'Data Reduction Engine'!I717)))</f>
        <v>86.715183105095562</v>
      </c>
      <c r="J48" s="54">
        <f>IF('Raw Data Input'!$AT$56="t75",(IF('Raw Data Input'!$AT$54="magma",'Data Reduction Engine'!J680,'Data Reduction Engine'!J685)),(IF('Raw Data Input'!$AT$54="magma",'Data Reduction Engine'!J711,'Data Reduction Engine'!J717)))</f>
        <v>89.385431902516075</v>
      </c>
      <c r="K48" s="54">
        <f>IF('Raw Data Input'!$AT$56="t75",(IF('Raw Data Input'!$AT$54="magma",'Data Reduction Engine'!K680,'Data Reduction Engine'!K685)),(IF('Raw Data Input'!$AT$54="magma",'Data Reduction Engine'!K711,'Data Reduction Engine'!K717)))</f>
        <v>44.594147090754795</v>
      </c>
      <c r="L48" s="54">
        <f>IF('Raw Data Input'!$AT$56="t75",(IF('Raw Data Input'!$AT$54="magma",'Data Reduction Engine'!L680,'Data Reduction Engine'!L685)),(IF('Raw Data Input'!$AT$54="magma",'Data Reduction Engine'!L711,'Data Reduction Engine'!L717)))</f>
        <v>44.586164163593281</v>
      </c>
      <c r="M48" s="54">
        <f>IF('Raw Data Input'!$AT$56="t75",(IF('Raw Data Input'!$AT$54="magma",'Data Reduction Engine'!M680,'Data Reduction Engine'!M685)),(IF('Raw Data Input'!$AT$54="magma",'Data Reduction Engine'!M711,'Data Reduction Engine'!M717)))</f>
        <v>44.583366333731767</v>
      </c>
      <c r="N48" s="54">
        <f>IF('Raw Data Input'!$AT$56="t75",(IF('Raw Data Input'!$AT$54="magma",'Data Reduction Engine'!N680,'Data Reduction Engine'!N685)),(IF('Raw Data Input'!$AT$54="magma",'Data Reduction Engine'!N711,'Data Reduction Engine'!N717)))</f>
        <v>44.582927349847445</v>
      </c>
      <c r="O48" s="54">
        <f>IF('Raw Data Input'!$AT$56="t75",(IF('Raw Data Input'!$AT$54="magma",'Data Reduction Engine'!O680,'Data Reduction Engine'!O685)),(IF('Raw Data Input'!$AT$54="magma",'Data Reduction Engine'!O711,'Data Reduction Engine'!O717)))</f>
        <v>44.562116182606566</v>
      </c>
      <c r="P48" s="54">
        <f>IF('Raw Data Input'!$AT$56="t75",(IF('Raw Data Input'!$AT$54="magma",'Data Reduction Engine'!P680,'Data Reduction Engine'!P685)),(IF('Raw Data Input'!$AT$54="magma",'Data Reduction Engine'!P711,'Data Reduction Engine'!P717)))</f>
        <v>44.571683674332611</v>
      </c>
      <c r="Q48" s="54">
        <f>IF('Raw Data Input'!$AT$56="t75",(IF('Raw Data Input'!$AT$54="magma",'Data Reduction Engine'!Q680,'Data Reduction Engine'!Q685)),(IF('Raw Data Input'!$AT$54="magma",'Data Reduction Engine'!Q711,'Data Reduction Engine'!Q717)))</f>
        <v>44.510046706945353</v>
      </c>
      <c r="R48" s="54">
        <f>IF('Raw Data Input'!$AT$56="t75",(IF('Raw Data Input'!$AT$54="magma",'Data Reduction Engine'!R680,'Data Reduction Engine'!R685)),(IF('Raw Data Input'!$AT$54="magma",'Data Reduction Engine'!R711,'Data Reduction Engine'!R717)))</f>
        <v>28.496746096429668</v>
      </c>
      <c r="S48" s="54">
        <f>IF('Raw Data Input'!$AT$56="t75",(IF('Raw Data Input'!$AT$54="magma",'Data Reduction Engine'!S680,'Data Reduction Engine'!S685)),(IF('Raw Data Input'!$AT$54="magma",'Data Reduction Engine'!S711,'Data Reduction Engine'!S717)))</f>
        <v>28.494959808853316</v>
      </c>
      <c r="T48" s="54">
        <f>IF('Raw Data Input'!$AT$56="t75",(IF('Raw Data Input'!$AT$54="magma",'Data Reduction Engine'!T680,'Data Reduction Engine'!T685)),(IF('Raw Data Input'!$AT$54="magma",'Data Reduction Engine'!T711,'Data Reduction Engine'!T717)))</f>
        <v>28.349950931842137</v>
      </c>
      <c r="U48" s="54">
        <f>IF('Raw Data Input'!$AT$56="t75",(IF('Raw Data Input'!$AT$54="magma",'Data Reduction Engine'!U680,'Data Reduction Engine'!U685)),(IF('Raw Data Input'!$AT$54="magma",'Data Reduction Engine'!U711,'Data Reduction Engine'!U717)))</f>
        <v>28.345752770172297</v>
      </c>
      <c r="V48" s="54">
        <f>IF('Raw Data Input'!$AT$56="t75",(IF('Raw Data Input'!$AT$54="magma",'Data Reduction Engine'!V680,'Data Reduction Engine'!V685)),(IF('Raw Data Input'!$AT$54="magma",'Data Reduction Engine'!V711,'Data Reduction Engine'!V717)))</f>
        <v>28.243782111371477</v>
      </c>
      <c r="W48" s="54">
        <f>IF('Raw Data Input'!$AT$56="t75",(IF('Raw Data Input'!$AT$54="magma",'Data Reduction Engine'!W680,'Data Reduction Engine'!W685)),(IF('Raw Data Input'!$AT$54="magma",'Data Reduction Engine'!W711,'Data Reduction Engine'!W717)))</f>
        <v>28.24314273742743</v>
      </c>
      <c r="X48" s="54">
        <f>IF('Raw Data Input'!$AT$56="t75",(IF('Raw Data Input'!$AT$54="magma",'Data Reduction Engine'!X680,'Data Reduction Engine'!X685)),(IF('Raw Data Input'!$AT$54="magma",'Data Reduction Engine'!X711,'Data Reduction Engine'!X717)))</f>
        <v>28.57941558650521</v>
      </c>
      <c r="Y48" s="54">
        <f>IF('Raw Data Input'!$AT$56="t75",(IF('Raw Data Input'!$AT$54="magma",'Data Reduction Engine'!Y680,'Data Reduction Engine'!Y685)),(IF('Raw Data Input'!$AT$54="magma",'Data Reduction Engine'!Y711,'Data Reduction Engine'!Y717)))</f>
        <v>28.439722898217472</v>
      </c>
      <c r="Z48" s="54">
        <f>IF('Raw Data Input'!$AT$56="t75",(IF('Raw Data Input'!$AT$54="magma",'Data Reduction Engine'!Z680,'Data Reduction Engine'!Z685)),(IF('Raw Data Input'!$AT$54="magma",'Data Reduction Engine'!Z711,'Data Reduction Engine'!Z717)))</f>
        <v>28.367778518811708</v>
      </c>
      <c r="AA48" s="54">
        <f>IF('Raw Data Input'!$AT$56="t75",(IF('Raw Data Input'!$AT$54="magma",'Data Reduction Engine'!AA680,'Data Reduction Engine'!AA685)),(IF('Raw Data Input'!$AT$54="magma",'Data Reduction Engine'!AA711,'Data Reduction Engine'!AA717)))</f>
        <v>2572.5814813353231</v>
      </c>
      <c r="AB48" s="54">
        <f>IF('Raw Data Input'!$AT$56="t75",(IF('Raw Data Input'!$AT$54="magma",'Data Reduction Engine'!AB680,'Data Reduction Engine'!AB685)),(IF('Raw Data Input'!$AT$54="magma",'Data Reduction Engine'!AB711,'Data Reduction Engine'!AB717)))</f>
        <v>2578.1819910363379</v>
      </c>
      <c r="AC48" s="54">
        <f>IF('Raw Data Input'!$AT$56="t75",(IF('Raw Data Input'!$AT$54="magma",'Data Reduction Engine'!AC680,'Data Reduction Engine'!AC685)),(IF('Raw Data Input'!$AT$54="magma",'Data Reduction Engine'!AC711,'Data Reduction Engine'!AC717)))</f>
        <v>2577.1460225858882</v>
      </c>
      <c r="AD48" s="54">
        <f>IF('Raw Data Input'!$AT$56="t75",(IF('Raw Data Input'!$AT$54="magma",'Data Reduction Engine'!AD680,'Data Reduction Engine'!AD685)),(IF('Raw Data Input'!$AT$54="magma",'Data Reduction Engine'!AD711,'Data Reduction Engine'!AD717)))</f>
        <v>2578.0649159356567</v>
      </c>
      <c r="AE48" s="54">
        <f>IF('Raw Data Input'!$AT$56="t75",(IF('Raw Data Input'!$AT$54="magma",'Data Reduction Engine'!AE680,'Data Reduction Engine'!AE685)),(IF('Raw Data Input'!$AT$54="magma",'Data Reduction Engine'!AE711,'Data Reduction Engine'!AE717)))</f>
        <v>2573.4765944775418</v>
      </c>
      <c r="AF48" s="54">
        <f>IF('Raw Data Input'!$AT$56="t75",(IF('Raw Data Input'!$AT$54="magma",'Data Reduction Engine'!AF680,'Data Reduction Engine'!AF685)),(IF('Raw Data Input'!$AT$54="magma",'Data Reduction Engine'!AF711,'Data Reduction Engine'!AF717)))</f>
        <v>2577.8056391091877</v>
      </c>
      <c r="AG48" s="54"/>
    </row>
    <row r="49" spans="1:33" s="201" customFormat="1" x14ac:dyDescent="0.2">
      <c r="A49" s="6" t="s">
        <v>435</v>
      </c>
      <c r="B49" s="84"/>
      <c r="C49" s="54">
        <f>(1/(C242*1000000))*((C85/100*C84)/(C84+1))</f>
        <v>0.40570230137622021</v>
      </c>
      <c r="D49" s="54">
        <f t="shared" ref="D49:AF49" si="10">(1/(D242*1000000))*((D85/100*D84)/(D84+1))</f>
        <v>5.1859030164977256</v>
      </c>
      <c r="E49" s="54">
        <f t="shared" si="10"/>
        <v>3.8543117199236301</v>
      </c>
      <c r="F49" s="54">
        <f t="shared" si="10"/>
        <v>7.4536846998348354</v>
      </c>
      <c r="G49" s="54">
        <f t="shared" si="10"/>
        <v>5.205477845887299</v>
      </c>
      <c r="H49" s="54">
        <f t="shared" si="10"/>
        <v>5.5668333250153248</v>
      </c>
      <c r="I49" s="54">
        <f t="shared" si="10"/>
        <v>2.6555030124702115</v>
      </c>
      <c r="J49" s="54">
        <f t="shared" si="10"/>
        <v>3.1945011281849256</v>
      </c>
      <c r="K49" s="54">
        <f t="shared" si="10"/>
        <v>3.1082999498738693E-2</v>
      </c>
      <c r="L49" s="54">
        <f t="shared" si="10"/>
        <v>3.2817205384833466E-2</v>
      </c>
      <c r="M49" s="54">
        <f t="shared" si="10"/>
        <v>3.4508593321526469E-2</v>
      </c>
      <c r="N49" s="54">
        <f t="shared" si="10"/>
        <v>3.206274673428388E-2</v>
      </c>
      <c r="O49" s="54">
        <f t="shared" si="10"/>
        <v>3.7170727140367593E-2</v>
      </c>
      <c r="P49" s="54">
        <f t="shared" si="10"/>
        <v>3.8814586689000105E-2</v>
      </c>
      <c r="Q49" s="54">
        <f t="shared" si="10"/>
        <v>6.0675241987988918E-2</v>
      </c>
      <c r="R49" s="54">
        <f t="shared" si="10"/>
        <v>4.9602426477704131E-2</v>
      </c>
      <c r="S49" s="54">
        <f t="shared" si="10"/>
        <v>5.4929091329414627E-2</v>
      </c>
      <c r="T49" s="54">
        <f t="shared" si="10"/>
        <v>6.0502051934915209E-2</v>
      </c>
      <c r="U49" s="54">
        <f t="shared" si="10"/>
        <v>9.8716002690961646E-2</v>
      </c>
      <c r="V49" s="54">
        <f t="shared" si="10"/>
        <v>0.12912667939152239</v>
      </c>
      <c r="W49" s="54">
        <f t="shared" si="10"/>
        <v>0.19020488202391206</v>
      </c>
      <c r="X49" s="54">
        <f t="shared" si="10"/>
        <v>4.7526218391108897E-2</v>
      </c>
      <c r="Y49" s="54">
        <f t="shared" si="10"/>
        <v>7.9797689056863116E-2</v>
      </c>
      <c r="Z49" s="54">
        <f t="shared" si="10"/>
        <v>8.9235755150173054E-2</v>
      </c>
      <c r="AA49" s="54">
        <f t="shared" si="10"/>
        <v>1.2339447197435789</v>
      </c>
      <c r="AB49" s="54">
        <f t="shared" si="10"/>
        <v>1.4608478123968862</v>
      </c>
      <c r="AC49" s="54">
        <f t="shared" si="10"/>
        <v>1.1556110385914318</v>
      </c>
      <c r="AD49" s="54">
        <f t="shared" si="10"/>
        <v>1.1792790913155295</v>
      </c>
      <c r="AE49" s="54">
        <f t="shared" si="10"/>
        <v>1.323194281878743</v>
      </c>
      <c r="AF49" s="54">
        <f t="shared" si="10"/>
        <v>1.194376073113105</v>
      </c>
      <c r="AG49" s="54"/>
    </row>
    <row r="50" spans="1:33" s="88" customFormat="1" x14ac:dyDescent="0.2">
      <c r="A50" s="5"/>
      <c r="B50" s="58"/>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row>
    <row r="51" spans="1:33" s="3" customFormat="1" ht="18" x14ac:dyDescent="0.2">
      <c r="A51" s="1" t="s">
        <v>433</v>
      </c>
      <c r="B51" s="56"/>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2"/>
    </row>
    <row r="52" spans="1:33" s="85" customFormat="1" x14ac:dyDescent="0.2">
      <c r="A52" s="5" t="s">
        <v>339</v>
      </c>
      <c r="B52" s="223"/>
      <c r="C52" s="202">
        <f>(((C127+C130)*238.0289)/(C6/1000))*1000000</f>
        <v>31.771654003062505</v>
      </c>
      <c r="D52" s="202">
        <f t="shared" ref="D52:AF52" si="11">(((D127+D130)*238.0289)/(D6/1000))*1000000</f>
        <v>1.8094370594894573</v>
      </c>
      <c r="E52" s="202">
        <f t="shared" si="11"/>
        <v>3.6235865029889389</v>
      </c>
      <c r="F52" s="202">
        <f t="shared" si="11"/>
        <v>6.0293486880573148</v>
      </c>
      <c r="G52" s="202">
        <f t="shared" si="11"/>
        <v>7.7882060849519368</v>
      </c>
      <c r="H52" s="202">
        <f t="shared" si="11"/>
        <v>3.427267190562437</v>
      </c>
      <c r="I52" s="202">
        <f t="shared" si="11"/>
        <v>5.8096230381652223</v>
      </c>
      <c r="J52" s="202">
        <f t="shared" si="11"/>
        <v>4.7172352298392903</v>
      </c>
      <c r="K52" s="202">
        <f t="shared" si="11"/>
        <v>251.2403819298751</v>
      </c>
      <c r="L52" s="202">
        <f t="shared" si="11"/>
        <v>178.36553021433986</v>
      </c>
      <c r="M52" s="202">
        <f t="shared" si="11"/>
        <v>164.78150619373318</v>
      </c>
      <c r="N52" s="202">
        <f t="shared" si="11"/>
        <v>257.2825972407424</v>
      </c>
      <c r="O52" s="202">
        <f t="shared" si="11"/>
        <v>67.04177722150061</v>
      </c>
      <c r="P52" s="202">
        <f t="shared" si="11"/>
        <v>138.89102966714978</v>
      </c>
      <c r="Q52" s="202">
        <f t="shared" si="11"/>
        <v>269.17749430511293</v>
      </c>
      <c r="R52" s="202">
        <f t="shared" si="11"/>
        <v>41.637891604360107</v>
      </c>
      <c r="S52" s="202">
        <f t="shared" si="11"/>
        <v>40.161078612891536</v>
      </c>
      <c r="T52" s="202">
        <f t="shared" si="11"/>
        <v>35.803965191931646</v>
      </c>
      <c r="U52" s="202">
        <f t="shared" si="11"/>
        <v>20.178344888814305</v>
      </c>
      <c r="V52" s="202">
        <f t="shared" si="11"/>
        <v>10.466057059334839</v>
      </c>
      <c r="W52" s="202">
        <f t="shared" si="11"/>
        <v>9.0361130718261915</v>
      </c>
      <c r="X52" s="202">
        <f t="shared" si="11"/>
        <v>37.983369389006491</v>
      </c>
      <c r="Y52" s="202">
        <f t="shared" si="11"/>
        <v>25.050319816977186</v>
      </c>
      <c r="Z52" s="202">
        <f t="shared" si="11"/>
        <v>22.27510276015844</v>
      </c>
      <c r="AA52" s="202">
        <f t="shared" si="11"/>
        <v>263.69057625909869</v>
      </c>
      <c r="AB52" s="202">
        <f t="shared" si="11"/>
        <v>323.74667925517099</v>
      </c>
      <c r="AC52" s="202">
        <f t="shared" si="11"/>
        <v>151.25651864307935</v>
      </c>
      <c r="AD52" s="202">
        <f t="shared" si="11"/>
        <v>370.70418939471813</v>
      </c>
      <c r="AE52" s="202">
        <f t="shared" si="11"/>
        <v>334.23399317342296</v>
      </c>
      <c r="AF52" s="202">
        <f t="shared" si="11"/>
        <v>340.09569201189225</v>
      </c>
      <c r="AG52" s="202"/>
    </row>
    <row r="53" spans="1:33" s="85" customFormat="1" x14ac:dyDescent="0.2">
      <c r="A53" s="5" t="s">
        <v>27</v>
      </c>
      <c r="B53" s="223"/>
      <c r="C53" s="202">
        <f>(C127+C130)*238.0289*1000000000</f>
        <v>0.31771654003062511</v>
      </c>
      <c r="D53" s="202">
        <f t="shared" ref="D53:AF53" si="12">(D127+D130)*238.0289*1000000000</f>
        <v>1.8094370594894577E-2</v>
      </c>
      <c r="E53" s="202">
        <f t="shared" si="12"/>
        <v>3.6235865029889389E-2</v>
      </c>
      <c r="F53" s="202">
        <f t="shared" si="12"/>
        <v>6.0293486880573156E-2</v>
      </c>
      <c r="G53" s="202">
        <f t="shared" si="12"/>
        <v>7.7882060849519374E-2</v>
      </c>
      <c r="H53" s="202">
        <f t="shared" si="12"/>
        <v>3.4272671905624372E-2</v>
      </c>
      <c r="I53" s="202">
        <f t="shared" si="12"/>
        <v>5.8096230381652229E-2</v>
      </c>
      <c r="J53" s="202">
        <f t="shared" si="12"/>
        <v>4.7172352298392908E-2</v>
      </c>
      <c r="K53" s="202">
        <f t="shared" si="12"/>
        <v>2.512403819298751</v>
      </c>
      <c r="L53" s="202">
        <f t="shared" si="12"/>
        <v>1.7836553021433987</v>
      </c>
      <c r="M53" s="202">
        <f t="shared" si="12"/>
        <v>1.647815061937332</v>
      </c>
      <c r="N53" s="202">
        <f t="shared" si="12"/>
        <v>2.5728259724074243</v>
      </c>
      <c r="O53" s="202">
        <f t="shared" si="12"/>
        <v>0.67041777221500609</v>
      </c>
      <c r="P53" s="202">
        <f t="shared" si="12"/>
        <v>1.3889102966714979</v>
      </c>
      <c r="Q53" s="202">
        <f t="shared" si="12"/>
        <v>0.26917749430511295</v>
      </c>
      <c r="R53" s="202">
        <f t="shared" si="12"/>
        <v>0.41637891604360111</v>
      </c>
      <c r="S53" s="202">
        <f t="shared" si="12"/>
        <v>0.40161078612891538</v>
      </c>
      <c r="T53" s="202">
        <f t="shared" si="12"/>
        <v>0.35803965191931647</v>
      </c>
      <c r="U53" s="202">
        <f t="shared" si="12"/>
        <v>0.20178344888814304</v>
      </c>
      <c r="V53" s="202">
        <f t="shared" si="12"/>
        <v>0.10466057059334838</v>
      </c>
      <c r="W53" s="202">
        <f t="shared" si="12"/>
        <v>9.0361130718261934E-2</v>
      </c>
      <c r="X53" s="202">
        <f t="shared" si="12"/>
        <v>0.37983369389006494</v>
      </c>
      <c r="Y53" s="202">
        <f t="shared" si="12"/>
        <v>0.2505031981697719</v>
      </c>
      <c r="Z53" s="202">
        <f t="shared" si="12"/>
        <v>0.22275102760158444</v>
      </c>
      <c r="AA53" s="202">
        <f t="shared" si="12"/>
        <v>2.6369057625909869</v>
      </c>
      <c r="AB53" s="202">
        <f t="shared" si="12"/>
        <v>3.23746679255171</v>
      </c>
      <c r="AC53" s="202">
        <f t="shared" si="12"/>
        <v>1.5125651864307936</v>
      </c>
      <c r="AD53" s="202">
        <f t="shared" si="12"/>
        <v>3.7070418939471819</v>
      </c>
      <c r="AE53" s="202">
        <f t="shared" si="12"/>
        <v>3.3423399317342297</v>
      </c>
      <c r="AF53" s="202">
        <f t="shared" si="12"/>
        <v>3.4009569201189227</v>
      </c>
      <c r="AG53" s="202"/>
    </row>
    <row r="54" spans="1:33" s="85" customFormat="1" x14ac:dyDescent="0.2">
      <c r="A54" s="4" t="s">
        <v>26</v>
      </c>
      <c r="B54" s="223"/>
      <c r="C54" s="202">
        <f>IF(C22&lt;&gt;"",((C142*232.0381)/(C6/1000))*1000000,"")</f>
        <v>1.9641179620982552</v>
      </c>
      <c r="D54" s="202">
        <f t="shared" ref="D54:AF54" si="13">IF(D22&lt;&gt;"",((D142*232.0381)/(D6/1000))*1000000,"")</f>
        <v>0.33722798786643571</v>
      </c>
      <c r="E54" s="202">
        <f t="shared" si="13"/>
        <v>0.79740679789648417</v>
      </c>
      <c r="F54" s="202">
        <f t="shared" si="13"/>
        <v>-0.6314773686784968</v>
      </c>
      <c r="G54" s="202">
        <f t="shared" si="13"/>
        <v>1.8032177110529517</v>
      </c>
      <c r="H54" s="202">
        <f t="shared" si="13"/>
        <v>1.2901128896259353</v>
      </c>
      <c r="I54" s="202">
        <f t="shared" si="13"/>
        <v>1.1759927272242332</v>
      </c>
      <c r="J54" s="202">
        <f t="shared" si="13"/>
        <v>1.7833497681417725</v>
      </c>
      <c r="K54" s="202">
        <f t="shared" si="13"/>
        <v>147.42287206926795</v>
      </c>
      <c r="L54" s="202">
        <f t="shared" si="13"/>
        <v>103.30150521727822</v>
      </c>
      <c r="M54" s="202">
        <f t="shared" si="13"/>
        <v>94.999473708747487</v>
      </c>
      <c r="N54" s="202">
        <f t="shared" si="13"/>
        <v>156.12548437094361</v>
      </c>
      <c r="O54" s="202">
        <f t="shared" si="13"/>
        <v>37.497848393775385</v>
      </c>
      <c r="P54" s="202">
        <f t="shared" si="13"/>
        <v>81.989459955043486</v>
      </c>
      <c r="Q54" s="202">
        <f t="shared" si="13"/>
        <v>136.72869887929338</v>
      </c>
      <c r="R54" s="202">
        <f t="shared" si="13"/>
        <v>31.314217307129159</v>
      </c>
      <c r="S54" s="202">
        <f t="shared" si="13"/>
        <v>34.145138607112941</v>
      </c>
      <c r="T54" s="202">
        <f t="shared" si="13"/>
        <v>29.179877660869089</v>
      </c>
      <c r="U54" s="202">
        <f t="shared" si="13"/>
        <v>21.248596486265178</v>
      </c>
      <c r="V54" s="202">
        <f t="shared" si="13"/>
        <v>7.9006893640075813</v>
      </c>
      <c r="W54" s="202">
        <f t="shared" si="13"/>
        <v>6.0114104183435062</v>
      </c>
      <c r="X54" s="202">
        <f t="shared" si="13"/>
        <v>22.222987970733403</v>
      </c>
      <c r="Y54" s="202">
        <f t="shared" si="13"/>
        <v>16.285694561676966</v>
      </c>
      <c r="Z54" s="202">
        <f t="shared" si="13"/>
        <v>10.030969800119568</v>
      </c>
      <c r="AA54" s="202">
        <f t="shared" si="13"/>
        <v>105.91638537836997</v>
      </c>
      <c r="AB54" s="202">
        <f t="shared" si="13"/>
        <v>106.09725327822491</v>
      </c>
      <c r="AC54" s="202">
        <f t="shared" si="13"/>
        <v>57.237233915368165</v>
      </c>
      <c r="AD54" s="202">
        <f t="shared" si="13"/>
        <v>167.18392075079291</v>
      </c>
      <c r="AE54" s="202">
        <f t="shared" si="13"/>
        <v>155.9018644751865</v>
      </c>
      <c r="AF54" s="202">
        <f t="shared" si="13"/>
        <v>132.60235239660511</v>
      </c>
      <c r="AG54" s="202"/>
    </row>
    <row r="55" spans="1:33" s="85" customFormat="1" x14ac:dyDescent="0.2">
      <c r="A55" s="5" t="s">
        <v>367</v>
      </c>
      <c r="B55" s="223"/>
      <c r="C55" s="203">
        <f>IF(C22&lt;&gt;"",IF('Raw Data Input'!$AT$54="magma",'Data Reduction Engine'!C714,'Data Reduction Engine'!C720),"")</f>
        <v>6.3415895844257955E-2</v>
      </c>
      <c r="D55" s="203">
        <f>IF(D22&lt;&gt;"",IF('Raw Data Input'!$AT$54="magma",'Data Reduction Engine'!D714,'Data Reduction Engine'!D720),"")</f>
        <v>0.19118354897279011</v>
      </c>
      <c r="E55" s="203">
        <f>IF(E22&lt;&gt;"",IF('Raw Data Input'!$AT$54="magma",'Data Reduction Engine'!E714,'Data Reduction Engine'!E720),"")</f>
        <v>0.2257416469952335</v>
      </c>
      <c r="F55" s="203">
        <f>IF(F22&lt;&gt;"",IF('Raw Data Input'!$AT$54="magma",'Data Reduction Engine'!F714,'Data Reduction Engine'!F720),"")</f>
        <v>-0.10743796629861066</v>
      </c>
      <c r="G55" s="203">
        <f>IF(G22&lt;&gt;"",IF('Raw Data Input'!$AT$54="magma",'Data Reduction Engine'!G714,'Data Reduction Engine'!G720),"")</f>
        <v>0.23750957270335615</v>
      </c>
      <c r="H55" s="203">
        <f>IF(H22&lt;&gt;"",IF('Raw Data Input'!$AT$54="magma",'Data Reduction Engine'!H714,'Data Reduction Engine'!H720),"")</f>
        <v>0.38614475466325526</v>
      </c>
      <c r="I55" s="203">
        <f>IF(I22&lt;&gt;"",IF('Raw Data Input'!$AT$54="magma",'Data Reduction Engine'!I714,'Data Reduction Engine'!I720),"")</f>
        <v>0.20764767420340752</v>
      </c>
      <c r="J55" s="203">
        <f>IF(J22&lt;&gt;"",IF('Raw Data Input'!$AT$54="magma",'Data Reduction Engine'!J714,'Data Reduction Engine'!J720),"")</f>
        <v>0.38781034086996707</v>
      </c>
      <c r="K55" s="203">
        <f>IF(K22&lt;&gt;"",IF('Raw Data Input'!$AT$54="magma",'Data Reduction Engine'!K714,'Data Reduction Engine'!K720),"")</f>
        <v>0.60192975446302244</v>
      </c>
      <c r="L55" s="203">
        <f>IF(L22&lt;&gt;"",IF('Raw Data Input'!$AT$54="magma",'Data Reduction Engine'!L714,'Data Reduction Engine'!L720),"")</f>
        <v>0.59410896997923179</v>
      </c>
      <c r="M55" s="203">
        <f>IF(M22&lt;&gt;"",IF('Raw Data Input'!$AT$54="magma",'Data Reduction Engine'!M714,'Data Reduction Engine'!M720),"")</f>
        <v>0.59140245095066513</v>
      </c>
      <c r="N55" s="203">
        <f>IF(N22&lt;&gt;"",IF('Raw Data Input'!$AT$54="magma",'Data Reduction Engine'!N714,'Data Reduction Engine'!N720),"")</f>
        <v>0.62249200288974094</v>
      </c>
      <c r="O55" s="203">
        <f>IF(O22&lt;&gt;"",IF('Raw Data Input'!$AT$54="magma",'Data Reduction Engine'!O714,'Data Reduction Engine'!O720),"")</f>
        <v>0.57376125687434498</v>
      </c>
      <c r="P55" s="203">
        <f>IF(P22&lt;&gt;"",IF('Raw Data Input'!$AT$54="magma",'Data Reduction Engine'!P714,'Data Reduction Engine'!P720),"")</f>
        <v>0.60555586840707221</v>
      </c>
      <c r="Q55" s="203">
        <f>IF(Q22&lt;&gt;"",IF('Raw Data Input'!$AT$54="magma",'Data Reduction Engine'!Q714,'Data Reduction Engine'!Q720),"")</f>
        <v>0.52106430575115625</v>
      </c>
      <c r="R55" s="203">
        <f>IF(R22&lt;&gt;"",IF('Raw Data Input'!$AT$54="magma",'Data Reduction Engine'!R714,'Data Reduction Engine'!R720),"")</f>
        <v>0.77147742056705493</v>
      </c>
      <c r="S55" s="203">
        <f>IF(S22&lt;&gt;"",IF('Raw Data Input'!$AT$54="magma",'Data Reduction Engine'!S714,'Data Reduction Engine'!S720),"")</f>
        <v>0.87215545350748536</v>
      </c>
      <c r="T55" s="203">
        <f>IF(T22&lt;&gt;"",IF('Raw Data Input'!$AT$54="magma",'Data Reduction Engine'!T714,'Data Reduction Engine'!T720),"")</f>
        <v>0.83603167006980939</v>
      </c>
      <c r="U55" s="203">
        <f>IF(U22&lt;&gt;"",IF('Raw Data Input'!$AT$54="magma",'Data Reduction Engine'!U714,'Data Reduction Engine'!U720),"")</f>
        <v>1.0802271724468435</v>
      </c>
      <c r="V55" s="203">
        <f>IF(V22&lt;&gt;"",IF('Raw Data Input'!$AT$54="magma",'Data Reduction Engine'!V714,'Data Reduction Engine'!V720),"")</f>
        <v>0.77437670073871934</v>
      </c>
      <c r="W55" s="203">
        <f>IF(W22&lt;&gt;"",IF('Raw Data Input'!$AT$54="magma",'Data Reduction Engine'!W714,'Data Reduction Engine'!W720),"")</f>
        <v>0.68244100183841971</v>
      </c>
      <c r="X55" s="203">
        <f>IF(X22&lt;&gt;"",IF('Raw Data Input'!$AT$54="magma",'Data Reduction Engine'!X714,'Data Reduction Engine'!X720),"")</f>
        <v>0.60017700651084716</v>
      </c>
      <c r="Y55" s="203">
        <f>IF(Y22&lt;&gt;"",IF('Raw Data Input'!$AT$54="magma",'Data Reduction Engine'!Y714,'Data Reduction Engine'!Y720),"")</f>
        <v>0.66690411846245112</v>
      </c>
      <c r="Z55" s="203">
        <f>IF(Z22&lt;&gt;"",IF('Raw Data Input'!$AT$54="magma",'Data Reduction Engine'!Z714,'Data Reduction Engine'!Z720),"")</f>
        <v>0.46194853657262552</v>
      </c>
      <c r="AA55" s="203">
        <f>IF(AA22&lt;&gt;"",IF('Raw Data Input'!$AT$54="magma",'Data Reduction Engine'!AA714,'Data Reduction Engine'!AA720),"")</f>
        <v>0.41203957520387996</v>
      </c>
      <c r="AB55" s="203">
        <f>IF(AB22&lt;&gt;"",IF('Raw Data Input'!$AT$54="magma",'Data Reduction Engine'!AB714,'Data Reduction Engine'!AB720),"")</f>
        <v>0.33617793657742934</v>
      </c>
      <c r="AC55" s="203">
        <f>IF(AC22&lt;&gt;"",IF('Raw Data Input'!$AT$54="magma",'Data Reduction Engine'!AC714,'Data Reduction Engine'!AC720),"")</f>
        <v>0.38818158249728779</v>
      </c>
      <c r="AD55" s="203">
        <f>IF(AD22&lt;&gt;"",IF('Raw Data Input'!$AT$54="magma",'Data Reduction Engine'!AD714,'Data Reduction Engine'!AD720),"")</f>
        <v>0.46263384440740607</v>
      </c>
      <c r="AE55" s="203">
        <f>IF(AE22&lt;&gt;"",IF('Raw Data Input'!$AT$54="magma",'Data Reduction Engine'!AE714,'Data Reduction Engine'!AE720),"")</f>
        <v>0.47848803287039327</v>
      </c>
      <c r="AF55" s="203">
        <f>IF(AF22&lt;&gt;"",IF('Raw Data Input'!$AT$54="magma",'Data Reduction Engine'!AF714,'Data Reduction Engine'!AF720),"")</f>
        <v>0.39996361663919405</v>
      </c>
      <c r="AG55" s="203"/>
    </row>
    <row r="56" spans="1:33" s="85" customFormat="1" x14ac:dyDescent="0.2">
      <c r="A56" s="5" t="s">
        <v>369</v>
      </c>
      <c r="B56" s="223"/>
      <c r="C56" s="203">
        <f>IF(C22&lt;&gt;"",C139/C133,"")</f>
        <v>2.0304953428060896E-2</v>
      </c>
      <c r="D56" s="203">
        <f t="shared" ref="D56:AF56" si="14">IF(D22&lt;&gt;"",D139/D133,"")</f>
        <v>6.1187789237807044E-2</v>
      </c>
      <c r="E56" s="203">
        <f t="shared" si="14"/>
        <v>7.2246679256151011E-2</v>
      </c>
      <c r="F56" s="203">
        <f t="shared" si="14"/>
        <v>-3.4412101406150676E-2</v>
      </c>
      <c r="G56" s="203">
        <f t="shared" si="14"/>
        <v>7.5999455297200869E-2</v>
      </c>
      <c r="H56" s="203">
        <f t="shared" si="14"/>
        <v>0.12353901275384173</v>
      </c>
      <c r="I56" s="203">
        <f t="shared" si="14"/>
        <v>6.6467902895148923E-2</v>
      </c>
      <c r="J56" s="203">
        <f t="shared" si="14"/>
        <v>0.12411658498689421</v>
      </c>
      <c r="K56" s="203">
        <f t="shared" si="14"/>
        <v>0.19329088779785714</v>
      </c>
      <c r="L56" s="203">
        <f t="shared" si="14"/>
        <v>0.19077963515924373</v>
      </c>
      <c r="M56" s="203">
        <f t="shared" si="14"/>
        <v>0.18991057208375467</v>
      </c>
      <c r="N56" s="203">
        <f t="shared" si="14"/>
        <v>0.19989402684732813</v>
      </c>
      <c r="O56" s="203">
        <f t="shared" si="14"/>
        <v>0.18424602816073593</v>
      </c>
      <c r="P56" s="203">
        <f t="shared" si="14"/>
        <v>0.19445572339173678</v>
      </c>
      <c r="Q56" s="203">
        <f t="shared" si="14"/>
        <v>0.16732484420844915</v>
      </c>
      <c r="R56" s="203">
        <f t="shared" si="14"/>
        <v>0.24822091974130359</v>
      </c>
      <c r="S56" s="203">
        <f t="shared" si="14"/>
        <v>0.2806139040029042</v>
      </c>
      <c r="T56" s="203">
        <f t="shared" si="14"/>
        <v>0.26899744061353253</v>
      </c>
      <c r="U56" s="203">
        <f t="shared" si="14"/>
        <v>0.34756882072270939</v>
      </c>
      <c r="V56" s="203">
        <f t="shared" si="14"/>
        <v>0.24916392268898924</v>
      </c>
      <c r="W56" s="203">
        <f t="shared" si="14"/>
        <v>0.21958265854677156</v>
      </c>
      <c r="X56" s="203">
        <f t="shared" si="14"/>
        <v>0.19310288764279918</v>
      </c>
      <c r="Y56" s="203">
        <f t="shared" si="14"/>
        <v>0.21457668735636418</v>
      </c>
      <c r="Z56" s="203">
        <f t="shared" si="14"/>
        <v>0.14863386274772664</v>
      </c>
      <c r="AA56" s="203">
        <f t="shared" si="14"/>
        <v>0.11486589209814121</v>
      </c>
      <c r="AB56" s="203">
        <f t="shared" si="14"/>
        <v>9.3687489114070127E-2</v>
      </c>
      <c r="AC56" s="203">
        <f t="shared" si="14"/>
        <v>0.10818652572770492</v>
      </c>
      <c r="AD56" s="203">
        <f t="shared" si="14"/>
        <v>0.12892962375892511</v>
      </c>
      <c r="AE56" s="203">
        <f t="shared" si="14"/>
        <v>0.13338312944241509</v>
      </c>
      <c r="AF56" s="203">
        <f t="shared" si="14"/>
        <v>0.11146596297669444</v>
      </c>
      <c r="AG56" s="203"/>
    </row>
    <row r="57" spans="1:33" s="85" customFormat="1" x14ac:dyDescent="0.2">
      <c r="A57" s="4" t="s">
        <v>370</v>
      </c>
      <c r="B57" s="223"/>
      <c r="C57" s="202">
        <f>IF(C22&lt;&gt;"",C139/(C133+C136+C139)*100,"")</f>
        <v>1.9000786708191375</v>
      </c>
      <c r="D57" s="202">
        <f t="shared" ref="D57:AF57" si="15">IF(D22&lt;&gt;"",D139/(D133+D136+D139)*100,"")</f>
        <v>5.6706769695658483</v>
      </c>
      <c r="E57" s="202">
        <f t="shared" si="15"/>
        <v>6.4780163472473173</v>
      </c>
      <c r="F57" s="202">
        <f t="shared" si="15"/>
        <v>-3.3912920111759428</v>
      </c>
      <c r="G57" s="202">
        <f t="shared" si="15"/>
        <v>6.8678776334240386</v>
      </c>
      <c r="H57" s="202">
        <f t="shared" si="15"/>
        <v>10.543711909288374</v>
      </c>
      <c r="I57" s="202">
        <f t="shared" si="15"/>
        <v>5.9791090988238986</v>
      </c>
      <c r="J57" s="202">
        <f t="shared" si="15"/>
        <v>10.526133617495265</v>
      </c>
      <c r="K57" s="202">
        <f t="shared" si="15"/>
        <v>15.582677137148556</v>
      </c>
      <c r="L57" s="202">
        <f t="shared" si="15"/>
        <v>15.411325280556076</v>
      </c>
      <c r="M57" s="202">
        <f t="shared" si="15"/>
        <v>15.352127760158446</v>
      </c>
      <c r="N57" s="202">
        <f t="shared" si="15"/>
        <v>16.030276859642527</v>
      </c>
      <c r="O57" s="202">
        <f t="shared" si="15"/>
        <v>14.963493421690075</v>
      </c>
      <c r="P57" s="202">
        <f t="shared" si="15"/>
        <v>15.664707050571833</v>
      </c>
      <c r="Q57" s="202">
        <f t="shared" si="15"/>
        <v>13.786061696981349</v>
      </c>
      <c r="R57" s="202">
        <f t="shared" si="15"/>
        <v>19.187395983669557</v>
      </c>
      <c r="S57" s="202">
        <f t="shared" si="15"/>
        <v>21.156168772352256</v>
      </c>
      <c r="T57" s="202">
        <f t="shared" si="15"/>
        <v>20.453759085497094</v>
      </c>
      <c r="U57" s="202">
        <f t="shared" si="15"/>
        <v>24.93255428573357</v>
      </c>
      <c r="V57" s="202">
        <f t="shared" si="15"/>
        <v>19.261295252066049</v>
      </c>
      <c r="W57" s="202">
        <f t="shared" si="15"/>
        <v>17.368877866115319</v>
      </c>
      <c r="X57" s="202">
        <f t="shared" si="15"/>
        <v>15.573334872422837</v>
      </c>
      <c r="Y57" s="202">
        <f t="shared" si="15"/>
        <v>17.009825000548034</v>
      </c>
      <c r="Z57" s="202">
        <f t="shared" si="15"/>
        <v>12.441390297639444</v>
      </c>
      <c r="AA57" s="202">
        <f t="shared" si="15"/>
        <v>8.922650638590234</v>
      </c>
      <c r="AB57" s="202">
        <f t="shared" si="15"/>
        <v>7.3983628838994955</v>
      </c>
      <c r="AC57" s="202">
        <f t="shared" si="15"/>
        <v>8.4465555272074706</v>
      </c>
      <c r="AD57" s="202">
        <f t="shared" si="15"/>
        <v>9.9053608683076355</v>
      </c>
      <c r="AE57" s="202">
        <f t="shared" si="15"/>
        <v>10.214250361396171</v>
      </c>
      <c r="AF57" s="202">
        <f t="shared" si="15"/>
        <v>8.6801614733664287</v>
      </c>
      <c r="AG57" s="202"/>
    </row>
    <row r="58" spans="1:33" s="85" customFormat="1" x14ac:dyDescent="0.2">
      <c r="A58" s="4" t="s">
        <v>527</v>
      </c>
      <c r="B58" s="223"/>
      <c r="C58" s="202">
        <f>(((C228*203.973037)+((C133+C230+C234)*205.974455)+((C136+C231+C235)*206.975885)+((C139+C232+C236)*207.976641))*1000000000)/C6</f>
        <v>0.9697428534533864</v>
      </c>
      <c r="D58" s="202">
        <f t="shared" ref="D58:AF58" si="16">(((D228*203.973037)+((D133+D230+D234)*205.974455)+((D136+D231+D235)*206.975885)+((D139+D232+D236)*207.976641))*1000000000)/D6</f>
        <v>0.44299820594420136</v>
      </c>
      <c r="E58" s="202">
        <f t="shared" si="16"/>
        <v>0.69769319761317095</v>
      </c>
      <c r="F58" s="202">
        <f t="shared" si="16"/>
        <v>2.083864879588599</v>
      </c>
      <c r="G58" s="202">
        <f t="shared" si="16"/>
        <v>1.920250679151897</v>
      </c>
      <c r="H58" s="202">
        <f t="shared" si="16"/>
        <v>0.92711472985447607</v>
      </c>
      <c r="I58" s="202">
        <f t="shared" si="16"/>
        <v>0.78424633697677315</v>
      </c>
      <c r="J58" s="202">
        <f t="shared" si="16"/>
        <v>0.76743521676158877</v>
      </c>
      <c r="K58" s="202">
        <f t="shared" si="16"/>
        <v>1.8915763627214348</v>
      </c>
      <c r="L58" s="202">
        <f t="shared" si="16"/>
        <v>1.3568815778906604</v>
      </c>
      <c r="M58" s="202">
        <f t="shared" si="16"/>
        <v>1.2548930114360806</v>
      </c>
      <c r="N58" s="202">
        <f t="shared" si="16"/>
        <v>1.9592638759739189</v>
      </c>
      <c r="O58" s="202">
        <f t="shared" si="16"/>
        <v>0.52602525095875574</v>
      </c>
      <c r="P58" s="202">
        <f t="shared" si="16"/>
        <v>1.0596743728784315</v>
      </c>
      <c r="Q58" s="202">
        <f t="shared" si="16"/>
        <v>2.193831936090191</v>
      </c>
      <c r="R58" s="202">
        <f t="shared" si="16"/>
        <v>0.25305613531463717</v>
      </c>
      <c r="S58" s="202">
        <f t="shared" si="16"/>
        <v>0.25361130032182788</v>
      </c>
      <c r="T58" s="202">
        <f t="shared" si="16"/>
        <v>0.23831290185311438</v>
      </c>
      <c r="U58" s="202">
        <f t="shared" si="16"/>
        <v>0.1702384996500067</v>
      </c>
      <c r="V58" s="202">
        <f t="shared" si="16"/>
        <v>8.4843164340670588E-2</v>
      </c>
      <c r="W58" s="202">
        <f t="shared" si="16"/>
        <v>8.8130493602901164E-2</v>
      </c>
      <c r="X58" s="202">
        <f t="shared" si="16"/>
        <v>0.22267647114701453</v>
      </c>
      <c r="Y58" s="202">
        <f t="shared" si="16"/>
        <v>0.17622046283655438</v>
      </c>
      <c r="Z58" s="202">
        <f t="shared" si="16"/>
        <v>0.15177825748150722</v>
      </c>
      <c r="AA58" s="202">
        <f t="shared" si="16"/>
        <v>143.38348852798731</v>
      </c>
      <c r="AB58" s="202">
        <f t="shared" si="16"/>
        <v>173.55206931381491</v>
      </c>
      <c r="AC58" s="202">
        <f t="shared" si="16"/>
        <v>81.994025464986805</v>
      </c>
      <c r="AD58" s="202">
        <f t="shared" si="16"/>
        <v>204.47390317712308</v>
      </c>
      <c r="AE58" s="202">
        <f t="shared" si="16"/>
        <v>184.56582903920869</v>
      </c>
      <c r="AF58" s="202">
        <f t="shared" si="16"/>
        <v>185.20256827462805</v>
      </c>
      <c r="AG58" s="202"/>
    </row>
    <row r="59" spans="1:33" s="85" customFormat="1" x14ac:dyDescent="0.2">
      <c r="A59" s="4" t="s">
        <v>376</v>
      </c>
      <c r="B59" s="223"/>
      <c r="C59" s="202">
        <f>((C133*205.974455)+(C136*206.975885)+(C139*207.976641))*1000000000000</f>
        <v>3.7550060829463061</v>
      </c>
      <c r="D59" s="202">
        <f t="shared" ref="D59:AF59" si="17">((D133*205.974455)+(D136*206.975885)+(D139*207.976641))*1000000000000</f>
        <v>0.23375603581411658</v>
      </c>
      <c r="E59" s="202">
        <f t="shared" si="17"/>
        <v>0.48551645013727485</v>
      </c>
      <c r="F59" s="202">
        <f t="shared" si="17"/>
        <v>0.63363342303421444</v>
      </c>
      <c r="G59" s="202">
        <f t="shared" si="17"/>
        <v>1.0678709036867373</v>
      </c>
      <c r="H59" s="202">
        <f t="shared" si="17"/>
        <v>0.51277526162131137</v>
      </c>
      <c r="I59" s="202">
        <f t="shared" si="17"/>
        <v>0.75123360883316914</v>
      </c>
      <c r="J59" s="202">
        <f t="shared" si="17"/>
        <v>0.66738925925035908</v>
      </c>
      <c r="K59" s="202">
        <f t="shared" si="17"/>
        <v>18.580564138913367</v>
      </c>
      <c r="L59" s="202">
        <f t="shared" si="17"/>
        <v>13.161878587894869</v>
      </c>
      <c r="M59" s="202">
        <f t="shared" si="17"/>
        <v>12.14993876110395</v>
      </c>
      <c r="N59" s="202">
        <f t="shared" si="17"/>
        <v>19.1239604996011</v>
      </c>
      <c r="O59" s="202">
        <f t="shared" si="17"/>
        <v>4.9178063652841031</v>
      </c>
      <c r="P59" s="202">
        <f t="shared" si="17"/>
        <v>10.27438417102249</v>
      </c>
      <c r="Q59" s="202">
        <f t="shared" si="17"/>
        <v>1.9438359818364381</v>
      </c>
      <c r="R59" s="202">
        <f t="shared" si="17"/>
        <v>2.0481034652577406</v>
      </c>
      <c r="S59" s="202">
        <f t="shared" si="17"/>
        <v>2.0256883176505673</v>
      </c>
      <c r="T59" s="202">
        <f t="shared" si="17"/>
        <v>1.7813343077888371</v>
      </c>
      <c r="U59" s="202">
        <f t="shared" si="17"/>
        <v>1.064434980834899</v>
      </c>
      <c r="V59" s="202">
        <f t="shared" si="17"/>
        <v>0.51019030358638129</v>
      </c>
      <c r="W59" s="202">
        <f t="shared" si="17"/>
        <v>0.43039754348968245</v>
      </c>
      <c r="X59" s="202">
        <f t="shared" si="17"/>
        <v>1.7953927827290759</v>
      </c>
      <c r="Y59" s="202">
        <f t="shared" si="17"/>
        <v>1.1988776640029206</v>
      </c>
      <c r="Z59" s="202">
        <f t="shared" si="17"/>
        <v>1.006588417424491</v>
      </c>
      <c r="AA59" s="202">
        <f t="shared" si="17"/>
        <v>1432.4203957348479</v>
      </c>
      <c r="AB59" s="202">
        <f t="shared" si="17"/>
        <v>1734.2684098636807</v>
      </c>
      <c r="AC59" s="202">
        <f t="shared" si="17"/>
        <v>819.2224306051919</v>
      </c>
      <c r="AD59" s="202">
        <f t="shared" si="17"/>
        <v>2041.4979925967723</v>
      </c>
      <c r="AE59" s="202">
        <f t="shared" si="17"/>
        <v>1842.7115644806413</v>
      </c>
      <c r="AF59" s="202">
        <f t="shared" si="17"/>
        <v>1847.3696657869832</v>
      </c>
      <c r="AG59" s="202"/>
    </row>
    <row r="60" spans="1:33" s="85" customFormat="1" x14ac:dyDescent="0.2">
      <c r="A60" s="4" t="s">
        <v>377</v>
      </c>
      <c r="B60" s="223"/>
      <c r="C60" s="204">
        <f>((C228*203.973037)+((C230+C234)*205.974455)+((C231+C235)*206.975885)+((C232+C236)*207.976641))*1000000000000</f>
        <v>5.942422451587559</v>
      </c>
      <c r="D60" s="204">
        <f t="shared" ref="D60:AF60" si="18">((D228*203.973037)+((D230+D234)*205.974455)+((D231+D235)*206.975885)+((D232+D236)*207.976641))*1000000000000</f>
        <v>4.1962260236278972</v>
      </c>
      <c r="E60" s="204">
        <f t="shared" si="18"/>
        <v>6.4914155259944355</v>
      </c>
      <c r="F60" s="204">
        <f t="shared" si="18"/>
        <v>20.205015372851776</v>
      </c>
      <c r="G60" s="204">
        <f t="shared" si="18"/>
        <v>18.134635887832236</v>
      </c>
      <c r="H60" s="204">
        <f t="shared" si="18"/>
        <v>8.7583720369234506</v>
      </c>
      <c r="I60" s="204">
        <f t="shared" si="18"/>
        <v>7.0912297609345609</v>
      </c>
      <c r="J60" s="204">
        <f t="shared" si="18"/>
        <v>7.0069629083655283</v>
      </c>
      <c r="K60" s="204">
        <f t="shared" si="18"/>
        <v>0.33519948830098378</v>
      </c>
      <c r="L60" s="204">
        <f t="shared" si="18"/>
        <v>0.40693719101173464</v>
      </c>
      <c r="M60" s="204">
        <f t="shared" si="18"/>
        <v>0.39899135325685253</v>
      </c>
      <c r="N60" s="204">
        <f t="shared" si="18"/>
        <v>0.46867826013808833</v>
      </c>
      <c r="O60" s="204">
        <f t="shared" si="18"/>
        <v>0.34244614430345482</v>
      </c>
      <c r="P60" s="204">
        <f t="shared" si="18"/>
        <v>0.32235955776182756</v>
      </c>
      <c r="Q60" s="204">
        <f t="shared" si="18"/>
        <v>0.24999595425375259</v>
      </c>
      <c r="R60" s="204">
        <f t="shared" si="18"/>
        <v>0.48245788788863081</v>
      </c>
      <c r="S60" s="204">
        <f t="shared" si="18"/>
        <v>0.51042468556771192</v>
      </c>
      <c r="T60" s="204">
        <f t="shared" si="18"/>
        <v>0.60179471074230728</v>
      </c>
      <c r="U60" s="204">
        <f t="shared" si="18"/>
        <v>0.63795001566516796</v>
      </c>
      <c r="V60" s="204">
        <f t="shared" si="18"/>
        <v>0.33824133982032462</v>
      </c>
      <c r="W60" s="204">
        <f t="shared" si="18"/>
        <v>0.45090739253932915</v>
      </c>
      <c r="X60" s="204">
        <f t="shared" si="18"/>
        <v>0.43137192874106961</v>
      </c>
      <c r="Y60" s="204">
        <f t="shared" si="18"/>
        <v>0.56332696436262308</v>
      </c>
      <c r="Z60" s="204">
        <f t="shared" si="18"/>
        <v>0.51119415739058116</v>
      </c>
      <c r="AA60" s="204">
        <f t="shared" si="18"/>
        <v>1.4144895450251289</v>
      </c>
      <c r="AB60" s="204">
        <f t="shared" si="18"/>
        <v>1.2522832744686276</v>
      </c>
      <c r="AC60" s="204">
        <f t="shared" si="18"/>
        <v>0.71782404467629368</v>
      </c>
      <c r="AD60" s="204">
        <f t="shared" si="18"/>
        <v>3.2410391744590163</v>
      </c>
      <c r="AE60" s="204">
        <f t="shared" si="18"/>
        <v>2.9467259114456161</v>
      </c>
      <c r="AF60" s="204">
        <f t="shared" si="18"/>
        <v>4.6560169592970659</v>
      </c>
      <c r="AG60" s="204"/>
    </row>
    <row r="61" spans="1:33" s="85" customFormat="1" x14ac:dyDescent="0.2">
      <c r="A61" s="4" t="s">
        <v>378</v>
      </c>
      <c r="B61" s="223"/>
      <c r="C61" s="205">
        <f>C133+C230+C234</f>
        <v>2.4276199251471487E-14</v>
      </c>
      <c r="D61" s="205">
        <f t="shared" ref="D61:AF61" si="19">D133+D230+D234</f>
        <v>6.1502988715075069E-15</v>
      </c>
      <c r="E61" s="205">
        <f t="shared" si="19"/>
        <v>1.0003303033557129E-14</v>
      </c>
      <c r="F61" s="205">
        <f t="shared" si="19"/>
        <v>2.7607038366654283E-14</v>
      </c>
      <c r="G61" s="205">
        <f t="shared" si="19"/>
        <v>2.6737661378941544E-14</v>
      </c>
      <c r="H61" s="205">
        <f t="shared" si="19"/>
        <v>1.277152098066305E-14</v>
      </c>
      <c r="I61" s="205">
        <f t="shared" si="19"/>
        <v>1.1899482570381744E-14</v>
      </c>
      <c r="J61" s="205">
        <f t="shared" si="19"/>
        <v>1.1263165220002703E-14</v>
      </c>
      <c r="K61" s="205">
        <f t="shared" si="19"/>
        <v>7.3004247830541239E-14</v>
      </c>
      <c r="L61" s="205">
        <f t="shared" si="19"/>
        <v>5.2022928431816002E-14</v>
      </c>
      <c r="M61" s="205">
        <f t="shared" si="19"/>
        <v>4.8085712709194602E-14</v>
      </c>
      <c r="N61" s="205">
        <f t="shared" si="19"/>
        <v>7.4892276479770073E-14</v>
      </c>
      <c r="O61" s="205">
        <f t="shared" si="19"/>
        <v>1.9771536710868782E-14</v>
      </c>
      <c r="P61" s="205">
        <f t="shared" si="19"/>
        <v>4.0503113109721356E-14</v>
      </c>
      <c r="Q61" s="205">
        <f t="shared" si="19"/>
        <v>8.0648351338332515E-15</v>
      </c>
      <c r="R61" s="205">
        <f t="shared" si="19"/>
        <v>8.2519817643139909E-15</v>
      </c>
      <c r="S61" s="205">
        <f t="shared" si="19"/>
        <v>8.0132715327862582E-15</v>
      </c>
      <c r="T61" s="205">
        <f t="shared" si="19"/>
        <v>7.2880588928883706E-15</v>
      </c>
      <c r="U61" s="205">
        <f t="shared" si="19"/>
        <v>4.4677998601242525E-15</v>
      </c>
      <c r="V61" s="205">
        <f t="shared" si="19"/>
        <v>2.3184350866641774E-15</v>
      </c>
      <c r="W61" s="205">
        <f t="shared" si="19"/>
        <v>2.1930720764163433E-15</v>
      </c>
      <c r="X61" s="205">
        <f t="shared" si="19"/>
        <v>7.5375869941047171E-15</v>
      </c>
      <c r="Y61" s="205">
        <f t="shared" si="19"/>
        <v>5.28506286402965E-15</v>
      </c>
      <c r="Z61" s="205">
        <f t="shared" si="19"/>
        <v>4.7009939665176342E-15</v>
      </c>
      <c r="AA61" s="205">
        <f t="shared" si="19"/>
        <v>5.3955896117985599E-12</v>
      </c>
      <c r="AB61" s="205">
        <f t="shared" si="19"/>
        <v>6.6413513827906638E-12</v>
      </c>
      <c r="AC61" s="205">
        <f t="shared" si="19"/>
        <v>3.1015279471234883E-12</v>
      </c>
      <c r="AD61" s="205">
        <f t="shared" si="19"/>
        <v>7.6064199475885631E-12</v>
      </c>
      <c r="AE61" s="205">
        <f t="shared" si="19"/>
        <v>6.8433269984592085E-12</v>
      </c>
      <c r="AF61" s="205">
        <f t="shared" si="19"/>
        <v>6.9795645515034674E-12</v>
      </c>
      <c r="AG61" s="205"/>
    </row>
    <row r="62" spans="1:33" s="85" customFormat="1" x14ac:dyDescent="0.2">
      <c r="A62" s="4" t="s">
        <v>379</v>
      </c>
      <c r="B62" s="223"/>
      <c r="C62" s="205">
        <f>C133</f>
        <v>1.705262298057594E-14</v>
      </c>
      <c r="D62" s="205">
        <f t="shared" ref="D62:AF62" si="20">D133</f>
        <v>1.0511033365419188E-15</v>
      </c>
      <c r="E62" s="205">
        <f t="shared" si="20"/>
        <v>2.1118349420422608E-15</v>
      </c>
      <c r="F62" s="205">
        <f t="shared" si="20"/>
        <v>3.0319332750591714E-15</v>
      </c>
      <c r="G62" s="205">
        <f t="shared" si="20"/>
        <v>4.6813303631697652E-15</v>
      </c>
      <c r="H62" s="205">
        <f t="shared" si="20"/>
        <v>2.1221279135280621E-15</v>
      </c>
      <c r="I62" s="205">
        <f t="shared" si="20"/>
        <v>3.2782948520020791E-15</v>
      </c>
      <c r="J62" s="205">
        <f t="shared" si="20"/>
        <v>2.7444945354508235E-15</v>
      </c>
      <c r="K62" s="205">
        <f t="shared" si="20"/>
        <v>7.2600362269802836E-14</v>
      </c>
      <c r="L62" s="205">
        <f t="shared" si="20"/>
        <v>5.153260532180723E-14</v>
      </c>
      <c r="M62" s="205">
        <f t="shared" si="20"/>
        <v>4.760496362674009E-14</v>
      </c>
      <c r="N62" s="205">
        <f t="shared" si="20"/>
        <v>7.4327560874560666E-14</v>
      </c>
      <c r="O62" s="205">
        <f t="shared" si="20"/>
        <v>1.9358919574381642E-14</v>
      </c>
      <c r="P62" s="205">
        <f t="shared" si="20"/>
        <v>4.0114698522915326E-14</v>
      </c>
      <c r="Q62" s="205">
        <f t="shared" si="20"/>
        <v>7.7636122510720268E-15</v>
      </c>
      <c r="R62" s="205">
        <f t="shared" si="20"/>
        <v>7.6706629336372587E-15</v>
      </c>
      <c r="S62" s="205">
        <f t="shared" si="20"/>
        <v>7.3981335950458118E-15</v>
      </c>
      <c r="T62" s="205">
        <f t="shared" si="20"/>
        <v>6.5617623717180246E-15</v>
      </c>
      <c r="U62" s="205">
        <f t="shared" si="20"/>
        <v>3.6975176612546657E-15</v>
      </c>
      <c r="V62" s="205">
        <f t="shared" si="20"/>
        <v>1.9108843654781846E-15</v>
      </c>
      <c r="W62" s="205">
        <f t="shared" si="20"/>
        <v>1.649768785591167E-15</v>
      </c>
      <c r="X62" s="205">
        <f t="shared" si="20"/>
        <v>7.0178221990882224E-15</v>
      </c>
      <c r="Y62" s="205">
        <f t="shared" si="20"/>
        <v>4.6055652814295348E-15</v>
      </c>
      <c r="Z62" s="205">
        <f t="shared" si="20"/>
        <v>4.0849199077937913E-15</v>
      </c>
      <c r="AA62" s="205">
        <f t="shared" si="20"/>
        <v>5.3938746102139173E-12</v>
      </c>
      <c r="AB62" s="205">
        <f t="shared" si="20"/>
        <v>6.6398337174683688E-12</v>
      </c>
      <c r="AC62" s="205">
        <f t="shared" si="20"/>
        <v>3.1006604920946807E-12</v>
      </c>
      <c r="AD62" s="205">
        <f t="shared" si="20"/>
        <v>7.6024828094883159E-12</v>
      </c>
      <c r="AE62" s="205">
        <f t="shared" si="20"/>
        <v>6.8397479148230877E-12</v>
      </c>
      <c r="AF62" s="205">
        <f t="shared" si="20"/>
        <v>6.973905985332615E-12</v>
      </c>
      <c r="AG62" s="205"/>
    </row>
    <row r="63" spans="1:33" s="85" customFormat="1" x14ac:dyDescent="0.2">
      <c r="A63" s="4" t="s">
        <v>380</v>
      </c>
      <c r="B63" s="223"/>
      <c r="C63" s="205">
        <f>C230+C234</f>
        <v>7.2235762708955476E-15</v>
      </c>
      <c r="D63" s="205">
        <f t="shared" ref="D63:AF63" si="21">D230+D234</f>
        <v>5.099195534965588E-15</v>
      </c>
      <c r="E63" s="205">
        <f t="shared" si="21"/>
        <v>7.8914680915148677E-15</v>
      </c>
      <c r="F63" s="205">
        <f t="shared" si="21"/>
        <v>2.4575105091595112E-14</v>
      </c>
      <c r="G63" s="205">
        <f t="shared" si="21"/>
        <v>2.2056331015771779E-14</v>
      </c>
      <c r="H63" s="205">
        <f t="shared" si="21"/>
        <v>1.0649393067134988E-14</v>
      </c>
      <c r="I63" s="205">
        <f t="shared" si="21"/>
        <v>8.6211877183796651E-15</v>
      </c>
      <c r="J63" s="205">
        <f t="shared" si="21"/>
        <v>8.5186706845518796E-15</v>
      </c>
      <c r="K63" s="205">
        <f t="shared" si="21"/>
        <v>4.038855607384064E-16</v>
      </c>
      <c r="L63" s="205">
        <f t="shared" si="21"/>
        <v>4.9032311000876925E-16</v>
      </c>
      <c r="M63" s="205">
        <f t="shared" si="21"/>
        <v>4.8074908245451077E-16</v>
      </c>
      <c r="N63" s="205">
        <f t="shared" si="21"/>
        <v>5.6471560520940375E-16</v>
      </c>
      <c r="O63" s="205">
        <f t="shared" si="21"/>
        <v>4.1261713648713875E-16</v>
      </c>
      <c r="P63" s="205">
        <f t="shared" si="21"/>
        <v>3.8841458680603334E-16</v>
      </c>
      <c r="Q63" s="205">
        <f t="shared" si="21"/>
        <v>3.0122288276122504E-16</v>
      </c>
      <c r="R63" s="205">
        <f t="shared" si="21"/>
        <v>5.8131883067673228E-16</v>
      </c>
      <c r="S63" s="205">
        <f t="shared" si="21"/>
        <v>6.1513793774044673E-16</v>
      </c>
      <c r="T63" s="205">
        <f t="shared" si="21"/>
        <v>7.2629652117034578E-16</v>
      </c>
      <c r="U63" s="205">
        <f t="shared" si="21"/>
        <v>7.7028219886958654E-16</v>
      </c>
      <c r="V63" s="205">
        <f t="shared" si="21"/>
        <v>4.0755072118599272E-16</v>
      </c>
      <c r="W63" s="205">
        <f t="shared" si="21"/>
        <v>5.4330329082517629E-16</v>
      </c>
      <c r="X63" s="205">
        <f t="shared" si="21"/>
        <v>5.197647950164948E-16</v>
      </c>
      <c r="Y63" s="205">
        <f t="shared" si="21"/>
        <v>6.7949758260011507E-16</v>
      </c>
      <c r="Z63" s="205">
        <f t="shared" si="21"/>
        <v>6.1607405872384288E-16</v>
      </c>
      <c r="AA63" s="205">
        <f t="shared" si="21"/>
        <v>1.7150015846422198E-15</v>
      </c>
      <c r="AB63" s="205">
        <f t="shared" si="21"/>
        <v>1.5176653222952016E-15</v>
      </c>
      <c r="AC63" s="205">
        <f t="shared" si="21"/>
        <v>8.6745502880751694E-16</v>
      </c>
      <c r="AD63" s="205">
        <f t="shared" si="21"/>
        <v>3.9371381002478935E-15</v>
      </c>
      <c r="AE63" s="205">
        <f t="shared" si="21"/>
        <v>3.5790836361204482E-15</v>
      </c>
      <c r="AF63" s="205">
        <f t="shared" si="21"/>
        <v>5.6585661708522386E-15</v>
      </c>
      <c r="AG63" s="205"/>
    </row>
    <row r="64" spans="1:33" s="85" customFormat="1" x14ac:dyDescent="0.2">
      <c r="A64" s="4" t="s">
        <v>371</v>
      </c>
      <c r="B64" s="223"/>
      <c r="C64" s="206">
        <f>C133/(C133+C230+C234)</f>
        <v>0.70244204226253848</v>
      </c>
      <c r="D64" s="206">
        <f t="shared" ref="D64:AF64" si="22">D133/(D133+D230+D234)</f>
        <v>0.17090280627033685</v>
      </c>
      <c r="E64" s="206">
        <f t="shared" si="22"/>
        <v>0.21111376261999554</v>
      </c>
      <c r="F64" s="206">
        <f t="shared" si="22"/>
        <v>0.10982464814919636</v>
      </c>
      <c r="G64" s="206">
        <f t="shared" si="22"/>
        <v>0.17508376281766957</v>
      </c>
      <c r="H64" s="206">
        <f t="shared" si="22"/>
        <v>0.16616093860246622</v>
      </c>
      <c r="I64" s="206">
        <f t="shared" si="22"/>
        <v>0.27549894145497361</v>
      </c>
      <c r="J64" s="206">
        <f t="shared" si="22"/>
        <v>0.2436699171008134</v>
      </c>
      <c r="K64" s="206">
        <f t="shared" si="22"/>
        <v>0.99446764301063806</v>
      </c>
      <c r="L64" s="206">
        <f t="shared" si="22"/>
        <v>0.99057486526058569</v>
      </c>
      <c r="M64" s="206">
        <f t="shared" si="22"/>
        <v>0.99000224691766736</v>
      </c>
      <c r="N64" s="206">
        <f t="shared" si="22"/>
        <v>0.99245962825870371</v>
      </c>
      <c r="O64" s="206">
        <f t="shared" si="22"/>
        <v>0.97913075030428376</v>
      </c>
      <c r="P64" s="206">
        <f t="shared" si="22"/>
        <v>0.99041025350930856</v>
      </c>
      <c r="Q64" s="206">
        <f t="shared" si="22"/>
        <v>0.9626498399827732</v>
      </c>
      <c r="R64" s="206">
        <f t="shared" si="22"/>
        <v>0.92955403353038568</v>
      </c>
      <c r="S64" s="206">
        <f t="shared" si="22"/>
        <v>0.92323510625796057</v>
      </c>
      <c r="T64" s="206">
        <f t="shared" si="22"/>
        <v>0.90034431227235823</v>
      </c>
      <c r="U64" s="206">
        <f t="shared" si="22"/>
        <v>0.82759250123434025</v>
      </c>
      <c r="V64" s="206">
        <f t="shared" si="22"/>
        <v>0.82421301181548845</v>
      </c>
      <c r="W64" s="206">
        <f t="shared" si="22"/>
        <v>0.75226382357985344</v>
      </c>
      <c r="X64" s="206">
        <f t="shared" si="22"/>
        <v>0.93104360912543871</v>
      </c>
      <c r="Y64" s="206">
        <f t="shared" si="22"/>
        <v>0.87143055814438786</v>
      </c>
      <c r="Z64" s="206">
        <f t="shared" si="22"/>
        <v>0.86894812818059974</v>
      </c>
      <c r="AA64" s="206">
        <f t="shared" si="22"/>
        <v>0.99968214751157269</v>
      </c>
      <c r="AB64" s="206">
        <f t="shared" si="22"/>
        <v>0.99977148245367231</v>
      </c>
      <c r="AC64" s="206">
        <f t="shared" si="22"/>
        <v>0.99972031365069203</v>
      </c>
      <c r="AD64" s="206">
        <f t="shared" si="22"/>
        <v>0.99948239275146844</v>
      </c>
      <c r="AE64" s="206">
        <f t="shared" si="22"/>
        <v>0.99947699654905775</v>
      </c>
      <c r="AF64" s="206">
        <f t="shared" si="22"/>
        <v>0.99918926658975682</v>
      </c>
      <c r="AG64" s="206"/>
    </row>
    <row r="65" spans="1:33" s="85" customFormat="1" x14ac:dyDescent="0.2">
      <c r="A65" s="5" t="s">
        <v>368</v>
      </c>
      <c r="B65" s="223"/>
      <c r="C65" s="207">
        <f>(C133+C230+C234)/C228</f>
        <v>62.256771868964471</v>
      </c>
      <c r="D65" s="207">
        <f t="shared" ref="D65:AF65" si="23">(D133+D230+D234)/D228</f>
        <v>22.320935952340431</v>
      </c>
      <c r="E65" s="207">
        <f t="shared" si="23"/>
        <v>23.487310739184373</v>
      </c>
      <c r="F65" s="207">
        <f t="shared" si="23"/>
        <v>20.846342425327503</v>
      </c>
      <c r="G65" s="207">
        <f t="shared" si="23"/>
        <v>22.493654754420277</v>
      </c>
      <c r="H65" s="207">
        <f t="shared" si="23"/>
        <v>22.233930108938583</v>
      </c>
      <c r="I65" s="207">
        <f t="shared" si="23"/>
        <v>25.579414723408991</v>
      </c>
      <c r="J65" s="207">
        <f t="shared" si="23"/>
        <v>24.50234136200411</v>
      </c>
      <c r="K65" s="207">
        <f t="shared" si="23"/>
        <v>3261.2130102154165</v>
      </c>
      <c r="L65" s="207">
        <f t="shared" si="23"/>
        <v>1914.2638370371653</v>
      </c>
      <c r="M65" s="207">
        <f t="shared" si="23"/>
        <v>1804.6249434531821</v>
      </c>
      <c r="N65" s="207">
        <f t="shared" si="23"/>
        <v>2392.7460355902535</v>
      </c>
      <c r="O65" s="207">
        <f t="shared" si="23"/>
        <v>864.53489482982786</v>
      </c>
      <c r="P65" s="207">
        <f t="shared" si="23"/>
        <v>1881.4047491637373</v>
      </c>
      <c r="Q65" s="207">
        <f t="shared" si="23"/>
        <v>483.05534922854002</v>
      </c>
      <c r="R65" s="207">
        <f t="shared" si="23"/>
        <v>256.11394796670953</v>
      </c>
      <c r="S65" s="207">
        <f t="shared" si="23"/>
        <v>235.16970657234114</v>
      </c>
      <c r="T65" s="207">
        <f t="shared" si="23"/>
        <v>181.92733289912621</v>
      </c>
      <c r="U65" s="207">
        <f t="shared" si="23"/>
        <v>105.30089206909911</v>
      </c>
      <c r="V65" s="207">
        <f t="shared" si="23"/>
        <v>102.63668987789764</v>
      </c>
      <c r="W65" s="207">
        <f t="shared" si="23"/>
        <v>72.828259689714542</v>
      </c>
      <c r="X65" s="207">
        <f t="shared" si="23"/>
        <v>261.64644584841955</v>
      </c>
      <c r="Y65" s="207">
        <f t="shared" si="23"/>
        <v>140.7842136708235</v>
      </c>
      <c r="Z65" s="207">
        <f t="shared" si="23"/>
        <v>137.75874889739359</v>
      </c>
      <c r="AA65" s="207">
        <f t="shared" si="23"/>
        <v>57829.475122333897</v>
      </c>
      <c r="AB65" s="207">
        <f t="shared" si="23"/>
        <v>80330.608441980221</v>
      </c>
      <c r="AC65" s="207">
        <f t="shared" si="23"/>
        <v>65073.917135760763</v>
      </c>
      <c r="AD65" s="207">
        <f t="shared" si="23"/>
        <v>35717.087121739401</v>
      </c>
      <c r="AE65" s="207">
        <f t="shared" si="23"/>
        <v>35332.809598022781</v>
      </c>
      <c r="AF65" s="207">
        <f t="shared" si="23"/>
        <v>22834.301604447537</v>
      </c>
      <c r="AG65" s="207"/>
    </row>
    <row r="66" spans="1:33" s="85" customFormat="1" x14ac:dyDescent="0.2">
      <c r="A66" s="4" t="s">
        <v>381</v>
      </c>
      <c r="B66" s="196"/>
      <c r="C66" s="208">
        <f>C59/C60</f>
        <v>0.63189820541000585</v>
      </c>
      <c r="D66" s="208">
        <f t="shared" ref="D66:AF66" si="24">D59/D60</f>
        <v>5.5706254738876054E-2</v>
      </c>
      <c r="E66" s="208">
        <f t="shared" si="24"/>
        <v>7.4793617538895324E-2</v>
      </c>
      <c r="F66" s="208">
        <f t="shared" si="24"/>
        <v>3.1360204946222825E-2</v>
      </c>
      <c r="G66" s="208">
        <f t="shared" si="24"/>
        <v>5.8885709660332623E-2</v>
      </c>
      <c r="H66" s="208">
        <f t="shared" si="24"/>
        <v>5.8546869150974512E-2</v>
      </c>
      <c r="I66" s="208">
        <f t="shared" si="24"/>
        <v>0.10593841042518459</v>
      </c>
      <c r="J66" s="208">
        <f t="shared" si="24"/>
        <v>9.5246580862240776E-2</v>
      </c>
      <c r="K66" s="208">
        <f t="shared" si="24"/>
        <v>55.431361882716914</v>
      </c>
      <c r="L66" s="208">
        <f t="shared" si="24"/>
        <v>32.343759377636552</v>
      </c>
      <c r="M66" s="208">
        <f t="shared" si="24"/>
        <v>30.45163425705211</v>
      </c>
      <c r="N66" s="208">
        <f t="shared" si="24"/>
        <v>40.80402725308091</v>
      </c>
      <c r="O66" s="208">
        <f t="shared" si="24"/>
        <v>14.360816867385267</v>
      </c>
      <c r="P66" s="208">
        <f t="shared" si="24"/>
        <v>31.87243537110702</v>
      </c>
      <c r="Q66" s="208">
        <f t="shared" si="24"/>
        <v>7.7754697576561282</v>
      </c>
      <c r="R66" s="208">
        <f t="shared" si="24"/>
        <v>4.2451445331753366</v>
      </c>
      <c r="S66" s="208">
        <f t="shared" si="24"/>
        <v>3.9686331302678415</v>
      </c>
      <c r="T66" s="208">
        <f t="shared" si="24"/>
        <v>2.9600364974819744</v>
      </c>
      <c r="U66" s="208">
        <f t="shared" si="24"/>
        <v>1.6685241079977875</v>
      </c>
      <c r="V66" s="208">
        <f t="shared" si="24"/>
        <v>1.5083617628093502</v>
      </c>
      <c r="W66" s="208">
        <f t="shared" si="24"/>
        <v>0.95451427634809116</v>
      </c>
      <c r="X66" s="208">
        <f t="shared" si="24"/>
        <v>4.1620528901099583</v>
      </c>
      <c r="Y66" s="208">
        <f t="shared" si="24"/>
        <v>2.1282092636190284</v>
      </c>
      <c r="Z66" s="208">
        <f t="shared" si="24"/>
        <v>1.9690921793055642</v>
      </c>
      <c r="AA66" s="208">
        <f t="shared" si="24"/>
        <v>1012.6765523101838</v>
      </c>
      <c r="AB66" s="208">
        <f t="shared" si="24"/>
        <v>1384.8850697136161</v>
      </c>
      <c r="AC66" s="208">
        <f t="shared" si="24"/>
        <v>1141.2579958569434</v>
      </c>
      <c r="AD66" s="208">
        <f t="shared" si="24"/>
        <v>629.88994662106563</v>
      </c>
      <c r="AE66" s="208">
        <f t="shared" si="24"/>
        <v>625.34203039489239</v>
      </c>
      <c r="AF66" s="208">
        <f t="shared" si="24"/>
        <v>396.77039021479135</v>
      </c>
      <c r="AG66" s="208"/>
    </row>
    <row r="67" spans="1:33" x14ac:dyDescent="0.2">
      <c r="A67" s="6"/>
      <c r="B67" s="23"/>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19"/>
    </row>
    <row r="68" spans="1:33" s="3" customFormat="1" ht="18" x14ac:dyDescent="0.2">
      <c r="A68" s="1" t="s">
        <v>154</v>
      </c>
      <c r="B68" s="56"/>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row>
    <row r="69" spans="1:33" s="10" customFormat="1" x14ac:dyDescent="0.2">
      <c r="A69" s="8" t="s">
        <v>178</v>
      </c>
      <c r="B69" s="224"/>
      <c r="C69" s="66">
        <f>C245*(C136/C127)</f>
        <v>8.5755216260992764E-2</v>
      </c>
      <c r="D69" s="66">
        <f t="shared" ref="D69:AF69" si="25">D245*(D136/D127)</f>
        <v>3.4245085214318446E-2</v>
      </c>
      <c r="E69" s="66">
        <f t="shared" si="25"/>
        <v>8.2867943338936198E-2</v>
      </c>
      <c r="F69" s="66">
        <f t="shared" si="25"/>
        <v>8.1673200311352737E-2</v>
      </c>
      <c r="G69" s="66">
        <f t="shared" si="25"/>
        <v>6.078990967494402E-2</v>
      </c>
      <c r="H69" s="66">
        <f t="shared" si="25"/>
        <v>9.854767988031804E-2</v>
      </c>
      <c r="I69" s="66">
        <f t="shared" si="25"/>
        <v>8.4317655560081931E-2</v>
      </c>
      <c r="J69" s="66">
        <f t="shared" si="25"/>
        <v>0.10580270337015114</v>
      </c>
      <c r="K69" s="66">
        <f t="shared" si="25"/>
        <v>4.5021756132530399E-2</v>
      </c>
      <c r="L69" s="66">
        <f t="shared" si="25"/>
        <v>4.5021399945551231E-2</v>
      </c>
      <c r="M69" s="66">
        <f t="shared" si="25"/>
        <v>4.500097716118831E-2</v>
      </c>
      <c r="N69" s="66">
        <f t="shared" si="25"/>
        <v>4.4965769753424256E-2</v>
      </c>
      <c r="O69" s="66">
        <f t="shared" si="25"/>
        <v>4.4919426036428602E-2</v>
      </c>
      <c r="P69" s="66">
        <f t="shared" si="25"/>
        <v>4.4784718602128161E-2</v>
      </c>
      <c r="Q69" s="66">
        <f t="shared" si="25"/>
        <v>4.4239649543690432E-2</v>
      </c>
      <c r="R69" s="66">
        <f t="shared" si="25"/>
        <v>2.7676138942832808E-2</v>
      </c>
      <c r="S69" s="66">
        <f t="shared" si="25"/>
        <v>2.7877365061088698E-2</v>
      </c>
      <c r="T69" s="66">
        <f t="shared" si="25"/>
        <v>2.7960610305095387E-2</v>
      </c>
      <c r="U69" s="66">
        <f t="shared" si="25"/>
        <v>2.8147631586723631E-2</v>
      </c>
      <c r="V69" s="66">
        <f t="shared" si="25"/>
        <v>2.6819250859924905E-2</v>
      </c>
      <c r="W69" s="66">
        <f t="shared" si="25"/>
        <v>2.694707837045324E-2</v>
      </c>
      <c r="X69" s="66">
        <f t="shared" si="25"/>
        <v>2.8618032975389302E-2</v>
      </c>
      <c r="Y69" s="66">
        <f t="shared" si="25"/>
        <v>2.8510511664363448E-2</v>
      </c>
      <c r="Z69" s="66">
        <f t="shared" si="25"/>
        <v>2.7909705290992012E-2</v>
      </c>
      <c r="AA69" s="66">
        <f t="shared" si="25"/>
        <v>11.663500942396379</v>
      </c>
      <c r="AB69" s="66">
        <f t="shared" si="25"/>
        <v>11.704752517214565</v>
      </c>
      <c r="AC69" s="66">
        <f t="shared" si="25"/>
        <v>11.699702693130112</v>
      </c>
      <c r="AD69" s="66">
        <f t="shared" si="25"/>
        <v>11.707169827138323</v>
      </c>
      <c r="AE69" s="66">
        <f t="shared" si="25"/>
        <v>11.667369921726953</v>
      </c>
      <c r="AF69" s="66">
        <f t="shared" si="25"/>
        <v>11.705419155231304</v>
      </c>
      <c r="AG69" s="9"/>
    </row>
    <row r="70" spans="1:33" s="12" customFormat="1" x14ac:dyDescent="0.2">
      <c r="A70" s="44" t="s">
        <v>386</v>
      </c>
      <c r="B70" s="210"/>
      <c r="C70" s="67">
        <f>2*SQRT(C138*C138+C129*C129)</f>
        <v>2.8139393672545783</v>
      </c>
      <c r="D70" s="67">
        <f t="shared" ref="D70:AF70" si="26">2*SQRT(D138*D138+D129*D129)</f>
        <v>480.02620624094737</v>
      </c>
      <c r="E70" s="67">
        <f t="shared" si="26"/>
        <v>44.43143196206605</v>
      </c>
      <c r="F70" s="67">
        <f t="shared" si="26"/>
        <v>52.005963489048504</v>
      </c>
      <c r="G70" s="67">
        <f t="shared" si="26"/>
        <v>57.90212712915865</v>
      </c>
      <c r="H70" s="67">
        <f t="shared" si="26"/>
        <v>51.525404768593638</v>
      </c>
      <c r="I70" s="67">
        <f t="shared" si="26"/>
        <v>27.413639067069081</v>
      </c>
      <c r="J70" s="67">
        <f t="shared" si="26"/>
        <v>21.94526996947674</v>
      </c>
      <c r="K70" s="67">
        <f t="shared" si="26"/>
        <v>0.20180319109851225</v>
      </c>
      <c r="L70" s="67">
        <f t="shared" si="26"/>
        <v>0.30698261735018961</v>
      </c>
      <c r="M70" s="67">
        <f t="shared" si="26"/>
        <v>0.30895041037955456</v>
      </c>
      <c r="N70" s="67">
        <f t="shared" si="26"/>
        <v>0.25380096248858669</v>
      </c>
      <c r="O70" s="67">
        <f t="shared" si="26"/>
        <v>0.55941728227304455</v>
      </c>
      <c r="P70" s="67">
        <f t="shared" si="26"/>
        <v>0.31289083520205679</v>
      </c>
      <c r="Q70" s="67">
        <f t="shared" si="26"/>
        <v>1.2422219416929636</v>
      </c>
      <c r="R70" s="67">
        <f t="shared" si="26"/>
        <v>2.2106136436390855</v>
      </c>
      <c r="S70" s="67">
        <f t="shared" si="26"/>
        <v>2.4028767016850439</v>
      </c>
      <c r="T70" s="67">
        <f t="shared" si="26"/>
        <v>2.8680575814522644</v>
      </c>
      <c r="U70" s="67">
        <f t="shared" si="26"/>
        <v>5.1024842980526133</v>
      </c>
      <c r="V70" s="67">
        <f t="shared" si="26"/>
        <v>8.6055079439702737</v>
      </c>
      <c r="W70" s="67">
        <f t="shared" si="26"/>
        <v>15.831564140056829</v>
      </c>
      <c r="X70" s="67">
        <f t="shared" si="26"/>
        <v>1.9014415949129047</v>
      </c>
      <c r="Y70" s="67">
        <f t="shared" si="26"/>
        <v>3.4975253384593978</v>
      </c>
      <c r="Z70" s="67">
        <f t="shared" si="26"/>
        <v>4.3543748260744932</v>
      </c>
      <c r="AA70" s="67">
        <f t="shared" si="26"/>
        <v>9.0586330295022832E-2</v>
      </c>
      <c r="AB70" s="67">
        <f t="shared" si="26"/>
        <v>9.7704808657056011E-2</v>
      </c>
      <c r="AC70" s="67">
        <f t="shared" si="26"/>
        <v>8.8313192491927164E-2</v>
      </c>
      <c r="AD70" s="67">
        <f t="shared" si="26"/>
        <v>8.895385843604911E-2</v>
      </c>
      <c r="AE70" s="67">
        <f t="shared" si="26"/>
        <v>9.3280195925673604E-2</v>
      </c>
      <c r="AF70" s="67">
        <f t="shared" si="26"/>
        <v>8.9203371337837387E-2</v>
      </c>
      <c r="AG70" s="11"/>
    </row>
    <row r="71" spans="1:33" s="10" customFormat="1" x14ac:dyDescent="0.2">
      <c r="A71" s="209" t="s">
        <v>179</v>
      </c>
      <c r="B71" s="225"/>
      <c r="C71" s="66">
        <f>C133/C127</f>
        <v>1.2868249969090202E-2</v>
      </c>
      <c r="D71" s="66">
        <f t="shared" ref="D71:AF71" si="27">D133/D127</f>
        <v>1.3927400242658735E-2</v>
      </c>
      <c r="E71" s="66">
        <f t="shared" si="27"/>
        <v>1.3972993619032236E-2</v>
      </c>
      <c r="F71" s="66">
        <f t="shared" si="27"/>
        <v>1.2056392037027979E-2</v>
      </c>
      <c r="G71" s="66">
        <f t="shared" si="27"/>
        <v>1.4411194455194731E-2</v>
      </c>
      <c r="H71" s="66">
        <f t="shared" si="27"/>
        <v>1.48453936179197E-2</v>
      </c>
      <c r="I71" s="66">
        <f t="shared" si="27"/>
        <v>1.3529077377194309E-2</v>
      </c>
      <c r="J71" s="66">
        <f t="shared" si="27"/>
        <v>1.3948996322485391E-2</v>
      </c>
      <c r="K71" s="66">
        <f t="shared" si="27"/>
        <v>6.9281529295028748E-3</v>
      </c>
      <c r="L71" s="66">
        <f t="shared" si="27"/>
        <v>6.9269059824965508E-3</v>
      </c>
      <c r="M71" s="66">
        <f t="shared" si="27"/>
        <v>6.9264689570068252E-3</v>
      </c>
      <c r="N71" s="66">
        <f t="shared" si="27"/>
        <v>6.9264003870405776E-3</v>
      </c>
      <c r="O71" s="66">
        <f t="shared" si="27"/>
        <v>6.9231496556762893E-3</v>
      </c>
      <c r="P71" s="66">
        <f t="shared" si="27"/>
        <v>6.9246441090121905E-3</v>
      </c>
      <c r="Q71" s="66">
        <f t="shared" si="27"/>
        <v>6.9150163818967117E-3</v>
      </c>
      <c r="R71" s="66">
        <f t="shared" si="27"/>
        <v>4.4168463512852972E-3</v>
      </c>
      <c r="S71" s="66">
        <f t="shared" si="27"/>
        <v>4.416568025824982E-3</v>
      </c>
      <c r="T71" s="66">
        <f t="shared" si="27"/>
        <v>4.3939741258039698E-3</v>
      </c>
      <c r="U71" s="66">
        <f t="shared" si="27"/>
        <v>4.3933200158677178E-3</v>
      </c>
      <c r="V71" s="66">
        <f t="shared" si="27"/>
        <v>4.3774322351819769E-3</v>
      </c>
      <c r="W71" s="66">
        <f t="shared" si="27"/>
        <v>4.3773326167988996E-3</v>
      </c>
      <c r="X71" s="66">
        <f t="shared" si="27"/>
        <v>4.4297273537065272E-3</v>
      </c>
      <c r="Y71" s="66">
        <f t="shared" si="27"/>
        <v>4.4079614773711029E-3</v>
      </c>
      <c r="Z71" s="66">
        <f t="shared" si="27"/>
        <v>4.3967518229530841E-3</v>
      </c>
      <c r="AA71" s="66">
        <f t="shared" si="27"/>
        <v>0.4904269863095998</v>
      </c>
      <c r="AB71" s="66">
        <f t="shared" si="27"/>
        <v>0.49172241244026826</v>
      </c>
      <c r="AC71" s="66">
        <f t="shared" si="27"/>
        <v>0.4914827028706884</v>
      </c>
      <c r="AD71" s="66">
        <f t="shared" si="27"/>
        <v>0.49169532086021911</v>
      </c>
      <c r="AE71" s="66">
        <f t="shared" si="27"/>
        <v>0.49063395493652334</v>
      </c>
      <c r="AF71" s="66">
        <f t="shared" si="27"/>
        <v>0.49163532506419455</v>
      </c>
      <c r="AG71" s="9"/>
    </row>
    <row r="72" spans="1:33" s="12" customFormat="1" x14ac:dyDescent="0.2">
      <c r="A72" s="44" t="s">
        <v>386</v>
      </c>
      <c r="B72" s="210"/>
      <c r="C72" s="69">
        <f>2*SQRT(C135*C135+C129*C129)</f>
        <v>0.4951881964568981</v>
      </c>
      <c r="D72" s="69">
        <f t="shared" ref="D72:AF72" si="28">2*SQRT(D135*D135+D129*D129)</f>
        <v>5.85663020538321</v>
      </c>
      <c r="E72" s="69">
        <f t="shared" si="28"/>
        <v>4.3387995785256352</v>
      </c>
      <c r="F72" s="69">
        <f t="shared" si="28"/>
        <v>9.7061161712277393</v>
      </c>
      <c r="G72" s="69">
        <f t="shared" si="28"/>
        <v>5.6840942709446463</v>
      </c>
      <c r="H72" s="69">
        <f t="shared" si="28"/>
        <v>5.9034123476551086</v>
      </c>
      <c r="I72" s="69">
        <f t="shared" si="28"/>
        <v>3.086019890429724</v>
      </c>
      <c r="J72" s="69">
        <f t="shared" si="28"/>
        <v>3.6021452844305455</v>
      </c>
      <c r="K72" s="69">
        <f t="shared" si="28"/>
        <v>6.5532212601736778E-2</v>
      </c>
      <c r="L72" s="69">
        <f t="shared" si="28"/>
        <v>6.9710164064576155E-2</v>
      </c>
      <c r="M72" s="69">
        <f t="shared" si="28"/>
        <v>7.3751200995895744E-2</v>
      </c>
      <c r="N72" s="69">
        <f t="shared" si="28"/>
        <v>6.7906310878341758E-2</v>
      </c>
      <c r="O72" s="69">
        <f t="shared" si="28"/>
        <v>8.0098598853952513E-2</v>
      </c>
      <c r="P72" s="69">
        <f t="shared" si="28"/>
        <v>8.3956030769134646E-2</v>
      </c>
      <c r="Q72" s="69">
        <f t="shared" si="28"/>
        <v>0.13477901536410869</v>
      </c>
      <c r="R72" s="69">
        <f t="shared" si="28"/>
        <v>0.17059088593925292</v>
      </c>
      <c r="S72" s="69">
        <f t="shared" si="28"/>
        <v>0.1898287172903225</v>
      </c>
      <c r="T72" s="69">
        <f t="shared" si="28"/>
        <v>0.2109347021020008</v>
      </c>
      <c r="U72" s="69">
        <f t="shared" si="28"/>
        <v>0.34789807540499351</v>
      </c>
      <c r="V72" s="69">
        <f t="shared" si="28"/>
        <v>0.4579175690075325</v>
      </c>
      <c r="W72" s="69">
        <f t="shared" si="28"/>
        <v>0.6758705702215998</v>
      </c>
      <c r="X72" s="69">
        <f t="shared" si="28"/>
        <v>0.16259762176149856</v>
      </c>
      <c r="Y72" s="69">
        <f t="shared" si="28"/>
        <v>0.2793522036028489</v>
      </c>
      <c r="Z72" s="69">
        <f t="shared" si="28"/>
        <v>0.31379731256771098</v>
      </c>
      <c r="AA72" s="69">
        <f t="shared" si="28"/>
        <v>5.8171448716165884E-2</v>
      </c>
      <c r="AB72" s="69">
        <f t="shared" si="28"/>
        <v>6.8746894547999343E-2</v>
      </c>
      <c r="AC72" s="69">
        <f t="shared" si="28"/>
        <v>5.4399937136205237E-2</v>
      </c>
      <c r="AD72" s="69">
        <f t="shared" si="28"/>
        <v>5.5498052424496853E-2</v>
      </c>
      <c r="AE72" s="69">
        <f t="shared" si="28"/>
        <v>6.2361404127622887E-2</v>
      </c>
      <c r="AF72" s="69">
        <f t="shared" si="28"/>
        <v>5.6213157799188118E-2</v>
      </c>
      <c r="AG72" s="11"/>
    </row>
    <row r="73" spans="1:33" s="12" customFormat="1" x14ac:dyDescent="0.2">
      <c r="A73" s="44" t="s">
        <v>180</v>
      </c>
      <c r="B73" s="226"/>
      <c r="C73" s="68">
        <f>((C70/2)^2+(C72/2)^2-(C78/2)^2)/(2*(C70/2)*(C72/2))</f>
        <v>0.19931944873939728</v>
      </c>
      <c r="D73" s="68">
        <f t="shared" ref="D73:AF73" si="29">((D70/2)^2+(D72/2)^2-(D78/2)^2)/(2*(D70/2)*(D72/2))</f>
        <v>0.11357923781939609</v>
      </c>
      <c r="E73" s="68">
        <f t="shared" si="29"/>
        <v>0.11968877203685462</v>
      </c>
      <c r="F73" s="68">
        <f t="shared" si="29"/>
        <v>8.123992866837193E-2</v>
      </c>
      <c r="G73" s="68">
        <f t="shared" si="29"/>
        <v>0.11822781349545561</v>
      </c>
      <c r="H73" s="68">
        <f t="shared" si="29"/>
        <v>9.5132547759496894E-2</v>
      </c>
      <c r="I73" s="68">
        <f t="shared" si="29"/>
        <v>0.14610424081965501</v>
      </c>
      <c r="J73" s="68">
        <f t="shared" si="29"/>
        <v>0.11230814990419177</v>
      </c>
      <c r="K73" s="68">
        <f t="shared" si="29"/>
        <v>0.7980418406065134</v>
      </c>
      <c r="L73" s="68">
        <f t="shared" si="29"/>
        <v>0.67220252075040021</v>
      </c>
      <c r="M73" s="68">
        <f t="shared" si="29"/>
        <v>0.66368549996788773</v>
      </c>
      <c r="N73" s="68">
        <f t="shared" si="29"/>
        <v>0.71319552863272651</v>
      </c>
      <c r="O73" s="68">
        <f t="shared" si="29"/>
        <v>0.69431258324036393</v>
      </c>
      <c r="P73" s="68">
        <f t="shared" si="29"/>
        <v>0.63622057000122545</v>
      </c>
      <c r="Q73" s="68">
        <f t="shared" si="29"/>
        <v>0.65448449651995688</v>
      </c>
      <c r="R73" s="68">
        <f t="shared" si="29"/>
        <v>0.79385949809343836</v>
      </c>
      <c r="S73" s="68">
        <f t="shared" si="29"/>
        <v>0.76718807812250278</v>
      </c>
      <c r="T73" s="68">
        <f t="shared" si="29"/>
        <v>0.77956539973174743</v>
      </c>
      <c r="U73" s="68">
        <f t="shared" si="29"/>
        <v>0.68607750377222876</v>
      </c>
      <c r="V73" s="68">
        <f t="shared" si="29"/>
        <v>0.56238763608199704</v>
      </c>
      <c r="W73" s="68">
        <f t="shared" si="29"/>
        <v>0.44618283167072509</v>
      </c>
      <c r="X73" s="68">
        <f t="shared" si="29"/>
        <v>0.75575281836364161</v>
      </c>
      <c r="Y73" s="68">
        <f t="shared" si="29"/>
        <v>0.7852912129995091</v>
      </c>
      <c r="Z73" s="68">
        <f t="shared" si="29"/>
        <v>0.71091583322817853</v>
      </c>
      <c r="AA73" s="68">
        <f t="shared" si="29"/>
        <v>0.94629615307582715</v>
      </c>
      <c r="AB73" s="68">
        <f t="shared" si="29"/>
        <v>0.94155019522986261</v>
      </c>
      <c r="AC73" s="68">
        <f t="shared" si="29"/>
        <v>0.94929875746446046</v>
      </c>
      <c r="AD73" s="68">
        <f t="shared" si="29"/>
        <v>0.94944741450223125</v>
      </c>
      <c r="AE73" s="68">
        <f t="shared" si="29"/>
        <v>0.94563757254008551</v>
      </c>
      <c r="AF73" s="68">
        <f t="shared" si="29"/>
        <v>0.95537940982887171</v>
      </c>
      <c r="AG73" s="13"/>
    </row>
    <row r="74" spans="1:33" s="12" customFormat="1" x14ac:dyDescent="0.2">
      <c r="A74" s="44"/>
      <c r="B74" s="226"/>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13"/>
    </row>
    <row r="75" spans="1:33" s="10" customFormat="1" x14ac:dyDescent="0.2">
      <c r="A75" s="209" t="s">
        <v>181</v>
      </c>
      <c r="B75" s="227"/>
      <c r="C75" s="69">
        <f>1/C71</f>
        <v>77.710644602181361</v>
      </c>
      <c r="D75" s="69">
        <f t="shared" ref="D75:AF75" si="30">1/D71</f>
        <v>71.800909184548601</v>
      </c>
      <c r="E75" s="69">
        <f t="shared" si="30"/>
        <v>71.56662539643095</v>
      </c>
      <c r="F75" s="69">
        <f t="shared" si="30"/>
        <v>82.943553670846782</v>
      </c>
      <c r="G75" s="69">
        <f t="shared" si="30"/>
        <v>69.39050077417663</v>
      </c>
      <c r="H75" s="69">
        <f t="shared" si="30"/>
        <v>67.360962311764624</v>
      </c>
      <c r="I75" s="69">
        <f t="shared" si="30"/>
        <v>73.914870328532501</v>
      </c>
      <c r="J75" s="69">
        <f t="shared" si="30"/>
        <v>71.689745762426512</v>
      </c>
      <c r="K75" s="69">
        <f t="shared" si="30"/>
        <v>144.33861523777801</v>
      </c>
      <c r="L75" s="69">
        <f t="shared" si="30"/>
        <v>144.36459835413942</v>
      </c>
      <c r="M75" s="69">
        <f t="shared" si="30"/>
        <v>144.37370703703201</v>
      </c>
      <c r="N75" s="69">
        <f t="shared" si="30"/>
        <v>144.37513630760046</v>
      </c>
      <c r="O75" s="69">
        <f t="shared" si="30"/>
        <v>144.44292695306683</v>
      </c>
      <c r="P75" s="69">
        <f t="shared" si="30"/>
        <v>144.41175376775448</v>
      </c>
      <c r="Q75" s="69">
        <f t="shared" si="30"/>
        <v>144.61281720430446</v>
      </c>
      <c r="R75" s="69">
        <f t="shared" si="30"/>
        <v>226.40588339890999</v>
      </c>
      <c r="S75" s="69">
        <f t="shared" si="30"/>
        <v>226.42015115644176</v>
      </c>
      <c r="T75" s="69">
        <f t="shared" si="30"/>
        <v>227.58440795711991</v>
      </c>
      <c r="U75" s="69">
        <f t="shared" si="30"/>
        <v>227.61829240488223</v>
      </c>
      <c r="V75" s="69">
        <f t="shared" si="30"/>
        <v>228.44442729755437</v>
      </c>
      <c r="W75" s="69">
        <f t="shared" si="30"/>
        <v>228.44962618611564</v>
      </c>
      <c r="X75" s="69">
        <f t="shared" si="30"/>
        <v>225.74752804216283</v>
      </c>
      <c r="Y75" s="69">
        <f t="shared" si="30"/>
        <v>226.86223669005327</v>
      </c>
      <c r="Z75" s="69">
        <f t="shared" si="30"/>
        <v>227.44062896148381</v>
      </c>
      <c r="AA75" s="69">
        <f t="shared" si="30"/>
        <v>2.0390395062165561</v>
      </c>
      <c r="AB75" s="69">
        <f t="shared" si="30"/>
        <v>2.0336677253275992</v>
      </c>
      <c r="AC75" s="69">
        <f t="shared" si="30"/>
        <v>2.0346596007532436</v>
      </c>
      <c r="AD75" s="69">
        <f t="shared" si="30"/>
        <v>2.0337797769775472</v>
      </c>
      <c r="AE75" s="69">
        <f t="shared" si="30"/>
        <v>2.0381793594562301</v>
      </c>
      <c r="AF75" s="69">
        <f t="shared" si="30"/>
        <v>2.0340279654832094</v>
      </c>
      <c r="AG75" s="14"/>
    </row>
    <row r="76" spans="1:33" s="12" customFormat="1" x14ac:dyDescent="0.2">
      <c r="A76" s="44" t="s">
        <v>386</v>
      </c>
      <c r="B76" s="210"/>
      <c r="C76" s="67">
        <f>C72</f>
        <v>0.4951881964568981</v>
      </c>
      <c r="D76" s="67">
        <f t="shared" ref="D76:AF76" si="31">D72</f>
        <v>5.85663020538321</v>
      </c>
      <c r="E76" s="67">
        <f t="shared" si="31"/>
        <v>4.3387995785256352</v>
      </c>
      <c r="F76" s="67">
        <f t="shared" si="31"/>
        <v>9.7061161712277393</v>
      </c>
      <c r="G76" s="67">
        <f t="shared" si="31"/>
        <v>5.6840942709446463</v>
      </c>
      <c r="H76" s="67">
        <f t="shared" si="31"/>
        <v>5.9034123476551086</v>
      </c>
      <c r="I76" s="67">
        <f t="shared" si="31"/>
        <v>3.086019890429724</v>
      </c>
      <c r="J76" s="67">
        <f t="shared" si="31"/>
        <v>3.6021452844305455</v>
      </c>
      <c r="K76" s="67">
        <f t="shared" si="31"/>
        <v>6.5532212601736778E-2</v>
      </c>
      <c r="L76" s="67">
        <f t="shared" si="31"/>
        <v>6.9710164064576155E-2</v>
      </c>
      <c r="M76" s="67">
        <f t="shared" si="31"/>
        <v>7.3751200995895744E-2</v>
      </c>
      <c r="N76" s="67">
        <f t="shared" si="31"/>
        <v>6.7906310878341758E-2</v>
      </c>
      <c r="O76" s="67">
        <f t="shared" si="31"/>
        <v>8.0098598853952513E-2</v>
      </c>
      <c r="P76" s="67">
        <f t="shared" si="31"/>
        <v>8.3956030769134646E-2</v>
      </c>
      <c r="Q76" s="67">
        <f t="shared" si="31"/>
        <v>0.13477901536410869</v>
      </c>
      <c r="R76" s="67">
        <f t="shared" si="31"/>
        <v>0.17059088593925292</v>
      </c>
      <c r="S76" s="67">
        <f t="shared" si="31"/>
        <v>0.1898287172903225</v>
      </c>
      <c r="T76" s="67">
        <f t="shared" si="31"/>
        <v>0.2109347021020008</v>
      </c>
      <c r="U76" s="67">
        <f t="shared" si="31"/>
        <v>0.34789807540499351</v>
      </c>
      <c r="V76" s="67">
        <f t="shared" si="31"/>
        <v>0.4579175690075325</v>
      </c>
      <c r="W76" s="67">
        <f t="shared" si="31"/>
        <v>0.6758705702215998</v>
      </c>
      <c r="X76" s="67">
        <f t="shared" si="31"/>
        <v>0.16259762176149856</v>
      </c>
      <c r="Y76" s="67">
        <f t="shared" si="31"/>
        <v>0.2793522036028489</v>
      </c>
      <c r="Z76" s="67">
        <f t="shared" si="31"/>
        <v>0.31379731256771098</v>
      </c>
      <c r="AA76" s="67">
        <f t="shared" si="31"/>
        <v>5.8171448716165884E-2</v>
      </c>
      <c r="AB76" s="67">
        <f t="shared" si="31"/>
        <v>6.8746894547999343E-2</v>
      </c>
      <c r="AC76" s="67">
        <f t="shared" si="31"/>
        <v>5.4399937136205237E-2</v>
      </c>
      <c r="AD76" s="67">
        <f t="shared" si="31"/>
        <v>5.5498052424496853E-2</v>
      </c>
      <c r="AE76" s="67">
        <f t="shared" si="31"/>
        <v>6.2361404127622887E-2</v>
      </c>
      <c r="AF76" s="67">
        <f t="shared" si="31"/>
        <v>5.6213157799188118E-2</v>
      </c>
      <c r="AG76" s="11"/>
    </row>
    <row r="77" spans="1:33" s="10" customFormat="1" x14ac:dyDescent="0.2">
      <c r="A77" s="209" t="s">
        <v>182</v>
      </c>
      <c r="B77" s="225"/>
      <c r="C77" s="66">
        <f>C136/C133</f>
        <v>4.8332558265457015E-2</v>
      </c>
      <c r="D77" s="66">
        <f t="shared" ref="D77:AF77" si="32">D136/D133</f>
        <v>1.7833103085947252E-2</v>
      </c>
      <c r="E77" s="66">
        <f t="shared" si="32"/>
        <v>4.3012612839500378E-2</v>
      </c>
      <c r="F77" s="66">
        <f t="shared" si="32"/>
        <v>4.9131603376084319E-2</v>
      </c>
      <c r="G77" s="66">
        <f t="shared" si="32"/>
        <v>3.0593576112281192E-2</v>
      </c>
      <c r="H77" s="66">
        <f t="shared" si="32"/>
        <v>4.8145246230997599E-2</v>
      </c>
      <c r="I77" s="66">
        <f t="shared" si="32"/>
        <v>4.5201106593627235E-2</v>
      </c>
      <c r="J77" s="66">
        <f t="shared" si="32"/>
        <v>5.5011378775627812E-2</v>
      </c>
      <c r="K77" s="66">
        <f t="shared" si="32"/>
        <v>4.7130678385134746E-2</v>
      </c>
      <c r="L77" s="66">
        <f t="shared" si="32"/>
        <v>4.7138789675664185E-2</v>
      </c>
      <c r="M77" s="66">
        <f t="shared" si="32"/>
        <v>4.7120379264937409E-2</v>
      </c>
      <c r="N77" s="66">
        <f t="shared" si="32"/>
        <v>4.7083979818152044E-2</v>
      </c>
      <c r="O77" s="66">
        <f t="shared" si="32"/>
        <v>4.7057538248865279E-2</v>
      </c>
      <c r="P77" s="66">
        <f t="shared" si="32"/>
        <v>4.6906293554748367E-2</v>
      </c>
      <c r="Q77" s="66">
        <f t="shared" si="32"/>
        <v>4.639991552541483E-2</v>
      </c>
      <c r="R77" s="66">
        <f t="shared" si="32"/>
        <v>4.544560985221234E-2</v>
      </c>
      <c r="S77" s="66">
        <f t="shared" si="32"/>
        <v>4.5778917979221151E-2</v>
      </c>
      <c r="T77" s="66">
        <f t="shared" si="32"/>
        <v>4.615171846826864E-2</v>
      </c>
      <c r="U77" s="66">
        <f t="shared" si="32"/>
        <v>4.6467332731445883E-2</v>
      </c>
      <c r="V77" s="66">
        <f t="shared" si="32"/>
        <v>4.4435076901979897E-2</v>
      </c>
      <c r="W77" s="66">
        <f t="shared" si="32"/>
        <v>4.4647882075268389E-2</v>
      </c>
      <c r="X77" s="66">
        <f t="shared" si="32"/>
        <v>4.6855600533966042E-2</v>
      </c>
      <c r="Y77" s="66">
        <f t="shared" si="32"/>
        <v>4.6910055449342507E-2</v>
      </c>
      <c r="Z77" s="66">
        <f t="shared" si="32"/>
        <v>4.6038590988634144E-2</v>
      </c>
      <c r="AA77" s="66">
        <f t="shared" si="32"/>
        <v>0.17248577895518019</v>
      </c>
      <c r="AB77" s="66">
        <f t="shared" si="32"/>
        <v>0.17263981307808413</v>
      </c>
      <c r="AC77" s="66">
        <f t="shared" si="32"/>
        <v>0.17264949528964146</v>
      </c>
      <c r="AD77" s="66">
        <f t="shared" si="32"/>
        <v>0.17268498143367891</v>
      </c>
      <c r="AE77" s="66">
        <f t="shared" si="32"/>
        <v>0.17247020999132817</v>
      </c>
      <c r="AF77" s="66">
        <f t="shared" si="32"/>
        <v>0.17268022852801942</v>
      </c>
      <c r="AG77" s="9"/>
    </row>
    <row r="78" spans="1:33" s="12" customFormat="1" x14ac:dyDescent="0.2">
      <c r="A78" s="44" t="s">
        <v>386</v>
      </c>
      <c r="B78" s="210"/>
      <c r="C78" s="67">
        <f>2*100*SQRT(C518+C519-(2*C516)/C517)</f>
        <v>2.7582586696861684</v>
      </c>
      <c r="D78" s="67">
        <f t="shared" ref="D78:AF78" si="33">2*100*SQRT(D518+D519-(2*D516)/D517)</f>
        <v>479.39632873018121</v>
      </c>
      <c r="E78" s="67">
        <f t="shared" si="33"/>
        <v>44.122900467639028</v>
      </c>
      <c r="F78" s="67">
        <f t="shared" si="33"/>
        <v>52.123056410398547</v>
      </c>
      <c r="G78" s="67">
        <f t="shared" si="33"/>
        <v>57.5077621378028</v>
      </c>
      <c r="H78" s="67">
        <f t="shared" si="33"/>
        <v>51.301496988464947</v>
      </c>
      <c r="I78" s="67">
        <f t="shared" si="33"/>
        <v>27.135043209335468</v>
      </c>
      <c r="J78" s="67">
        <f t="shared" si="33"/>
        <v>21.83608011496921</v>
      </c>
      <c r="K78" s="67">
        <f t="shared" si="33"/>
        <v>0.15463316337931962</v>
      </c>
      <c r="L78" s="67">
        <f t="shared" si="33"/>
        <v>0.26519393607809255</v>
      </c>
      <c r="M78" s="67">
        <f t="shared" si="33"/>
        <v>0.26579095514272977</v>
      </c>
      <c r="N78" s="67">
        <f t="shared" si="33"/>
        <v>0.21081459181025836</v>
      </c>
      <c r="O78" s="67">
        <f t="shared" si="33"/>
        <v>0.5070909329239891</v>
      </c>
      <c r="P78" s="67">
        <f t="shared" si="33"/>
        <v>0.2674386680825539</v>
      </c>
      <c r="Q78" s="67">
        <f t="shared" si="33"/>
        <v>1.1585016238633983</v>
      </c>
      <c r="R78" s="67">
        <f t="shared" si="33"/>
        <v>2.0777796716416521</v>
      </c>
      <c r="S78" s="67">
        <f t="shared" si="33"/>
        <v>2.2605239910641943</v>
      </c>
      <c r="T78" s="67">
        <f t="shared" si="33"/>
        <v>2.7068461171990124</v>
      </c>
      <c r="U78" s="67">
        <f t="shared" si="33"/>
        <v>4.8703804484998736</v>
      </c>
      <c r="V78" s="67">
        <f t="shared" si="33"/>
        <v>8.356563354737137</v>
      </c>
      <c r="W78" s="67">
        <f t="shared" si="33"/>
        <v>15.54177701455327</v>
      </c>
      <c r="X78" s="67">
        <f t="shared" si="33"/>
        <v>1.7817424357212488</v>
      </c>
      <c r="Y78" s="67">
        <f t="shared" si="33"/>
        <v>3.2827118481658877</v>
      </c>
      <c r="Z78" s="67">
        <f t="shared" si="33"/>
        <v>4.137181494509643</v>
      </c>
      <c r="AA78" s="67">
        <f t="shared" si="33"/>
        <v>4.0208375734530399E-2</v>
      </c>
      <c r="AB78" s="67">
        <f t="shared" si="33"/>
        <v>4.0295955521946876E-2</v>
      </c>
      <c r="AC78" s="67">
        <f t="shared" si="33"/>
        <v>4.0463192714297117E-2</v>
      </c>
      <c r="AD78" s="67">
        <f t="shared" si="33"/>
        <v>4.0229634801353727E-2</v>
      </c>
      <c r="AE78" s="67">
        <f t="shared" si="33"/>
        <v>3.9855153991528884E-2</v>
      </c>
      <c r="AF78" s="67">
        <f t="shared" si="33"/>
        <v>3.9189864105975719E-2</v>
      </c>
      <c r="AG78" s="11"/>
    </row>
    <row r="79" spans="1:33" s="12" customFormat="1" x14ac:dyDescent="0.2">
      <c r="A79" s="44" t="s">
        <v>183</v>
      </c>
      <c r="B79" s="226"/>
      <c r="C79" s="68">
        <f>((C76/2)^2+(C78/2)^2-(SQRT(C129*C129+C138*C138))^2)/(2*(C76/2)*(C78/2))</f>
        <v>-2.3813809680818202E-2</v>
      </c>
      <c r="D79" s="68">
        <f t="shared" ref="D79:AF79" si="34">((D76/2)^2+(D78/2)^2-(SQRT(D129*D129+D138*D138))^2)/(2*(D76/2)*(D78/2))</f>
        <v>-0.10151179205251896</v>
      </c>
      <c r="E79" s="68">
        <f t="shared" si="34"/>
        <v>-2.2191287120193762E-2</v>
      </c>
      <c r="F79" s="68">
        <f t="shared" si="34"/>
        <v>0.1051579816020534</v>
      </c>
      <c r="G79" s="68">
        <f t="shared" si="34"/>
        <v>-2.019810149260132E-2</v>
      </c>
      <c r="H79" s="68">
        <f t="shared" si="34"/>
        <v>1.9525147929011163E-2</v>
      </c>
      <c r="I79" s="68">
        <f t="shared" si="34"/>
        <v>-3.3876085122731624E-2</v>
      </c>
      <c r="J79" s="68">
        <f t="shared" si="34"/>
        <v>5.2093260741922089E-2</v>
      </c>
      <c r="K79" s="68">
        <f t="shared" si="34"/>
        <v>-0.61768882803287417</v>
      </c>
      <c r="L79" s="68">
        <f t="shared" si="34"/>
        <v>-0.51526187651794131</v>
      </c>
      <c r="M79" s="68">
        <f t="shared" si="34"/>
        <v>-0.49397733083745399</v>
      </c>
      <c r="N79" s="68">
        <f t="shared" si="34"/>
        <v>-0.53650650915567655</v>
      </c>
      <c r="O79" s="68">
        <f t="shared" si="34"/>
        <v>-0.60800112857976008</v>
      </c>
      <c r="P79" s="68">
        <f t="shared" si="34"/>
        <v>-0.4304222556019624</v>
      </c>
      <c r="Q79" s="68">
        <f t="shared" si="34"/>
        <v>-0.58544241349361015</v>
      </c>
      <c r="R79" s="68">
        <f t="shared" si="34"/>
        <v>-0.76250902504345242</v>
      </c>
      <c r="S79" s="68">
        <f t="shared" si="34"/>
        <v>-0.73152492429964433</v>
      </c>
      <c r="T79" s="68">
        <f t="shared" si="34"/>
        <v>-0.74806755358957433</v>
      </c>
      <c r="U79" s="68">
        <f t="shared" si="34"/>
        <v>-0.64734195781584758</v>
      </c>
      <c r="V79" s="68">
        <f t="shared" si="34"/>
        <v>-0.5243439814768911</v>
      </c>
      <c r="W79" s="68">
        <f t="shared" si="34"/>
        <v>-0.41101487568532452</v>
      </c>
      <c r="X79" s="68">
        <f t="shared" si="34"/>
        <v>-0.71526736805362179</v>
      </c>
      <c r="Y79" s="68">
        <f t="shared" si="34"/>
        <v>-0.7515809568576457</v>
      </c>
      <c r="Z79" s="68">
        <f t="shared" si="34"/>
        <v>-0.67238933046338434</v>
      </c>
      <c r="AA79" s="68">
        <f t="shared" si="34"/>
        <v>-0.68518179757285969</v>
      </c>
      <c r="AB79" s="68">
        <f t="shared" si="34"/>
        <v>-0.57690869509935694</v>
      </c>
      <c r="AC79" s="68">
        <f t="shared" si="34"/>
        <v>-0.72746772534586046</v>
      </c>
      <c r="AD79" s="68">
        <f t="shared" si="34"/>
        <v>-0.71984144575513265</v>
      </c>
      <c r="AE79" s="68">
        <f t="shared" si="34"/>
        <v>-0.64854482607415276</v>
      </c>
      <c r="AF79" s="68">
        <f t="shared" si="34"/>
        <v>-0.740240037216082</v>
      </c>
      <c r="AG79" s="13"/>
    </row>
    <row r="80" spans="1:33" x14ac:dyDescent="0.2">
      <c r="A80" s="44"/>
      <c r="B80" s="44"/>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15"/>
    </row>
    <row r="81" spans="1:33" s="3" customFormat="1" ht="18" x14ac:dyDescent="0.2">
      <c r="A81" s="1" t="s">
        <v>28</v>
      </c>
      <c r="B81" s="56"/>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s="10" customFormat="1" x14ac:dyDescent="0.2">
      <c r="A82" s="8" t="s">
        <v>178</v>
      </c>
      <c r="B82" s="224"/>
      <c r="C82" s="66">
        <f>C245*(C136/C127)</f>
        <v>8.5755216260992764E-2</v>
      </c>
      <c r="D82" s="66">
        <f t="shared" ref="D82:AF82" si="35">D245*(D136/D127)</f>
        <v>3.4245085214318446E-2</v>
      </c>
      <c r="E82" s="66">
        <f t="shared" si="35"/>
        <v>8.2867943338936198E-2</v>
      </c>
      <c r="F82" s="66">
        <f t="shared" si="35"/>
        <v>8.1673200311352737E-2</v>
      </c>
      <c r="G82" s="66">
        <f t="shared" si="35"/>
        <v>6.078990967494402E-2</v>
      </c>
      <c r="H82" s="66">
        <f t="shared" si="35"/>
        <v>9.854767988031804E-2</v>
      </c>
      <c r="I82" s="66">
        <f t="shared" si="35"/>
        <v>8.4317655560081931E-2</v>
      </c>
      <c r="J82" s="66">
        <f t="shared" si="35"/>
        <v>0.10580270337015114</v>
      </c>
      <c r="K82" s="66">
        <f t="shared" si="35"/>
        <v>4.5021756132530399E-2</v>
      </c>
      <c r="L82" s="66">
        <f t="shared" si="35"/>
        <v>4.5021399945551231E-2</v>
      </c>
      <c r="M82" s="66">
        <f t="shared" si="35"/>
        <v>4.500097716118831E-2</v>
      </c>
      <c r="N82" s="66">
        <f t="shared" si="35"/>
        <v>4.4965769753424256E-2</v>
      </c>
      <c r="O82" s="66">
        <f t="shared" si="35"/>
        <v>4.4919426036428602E-2</v>
      </c>
      <c r="P82" s="66">
        <f t="shared" si="35"/>
        <v>4.4784718602128161E-2</v>
      </c>
      <c r="Q82" s="66">
        <f t="shared" si="35"/>
        <v>4.4239649543690432E-2</v>
      </c>
      <c r="R82" s="66">
        <f t="shared" si="35"/>
        <v>2.7676138942832808E-2</v>
      </c>
      <c r="S82" s="66">
        <f t="shared" si="35"/>
        <v>2.7877365061088698E-2</v>
      </c>
      <c r="T82" s="66">
        <f t="shared" si="35"/>
        <v>2.7960610305095387E-2</v>
      </c>
      <c r="U82" s="66">
        <f t="shared" si="35"/>
        <v>2.8147631586723631E-2</v>
      </c>
      <c r="V82" s="66">
        <f t="shared" si="35"/>
        <v>2.6819250859924905E-2</v>
      </c>
      <c r="W82" s="66">
        <f t="shared" si="35"/>
        <v>2.694707837045324E-2</v>
      </c>
      <c r="X82" s="66">
        <f t="shared" si="35"/>
        <v>2.8618032975389302E-2</v>
      </c>
      <c r="Y82" s="66">
        <f t="shared" si="35"/>
        <v>2.8510511664363448E-2</v>
      </c>
      <c r="Z82" s="66">
        <f t="shared" si="35"/>
        <v>2.7909705290992012E-2</v>
      </c>
      <c r="AA82" s="66">
        <f t="shared" si="35"/>
        <v>11.663500942396379</v>
      </c>
      <c r="AB82" s="66">
        <f t="shared" si="35"/>
        <v>11.704752517214565</v>
      </c>
      <c r="AC82" s="66">
        <f t="shared" si="35"/>
        <v>11.699702693130112</v>
      </c>
      <c r="AD82" s="66">
        <f t="shared" si="35"/>
        <v>11.707169827138323</v>
      </c>
      <c r="AE82" s="66">
        <f t="shared" si="35"/>
        <v>11.667369921726953</v>
      </c>
      <c r="AF82" s="66">
        <f t="shared" si="35"/>
        <v>11.705419155231304</v>
      </c>
      <c r="AG82" s="9"/>
    </row>
    <row r="83" spans="1:33" s="12" customFormat="1" x14ac:dyDescent="0.2">
      <c r="A83" s="44" t="s">
        <v>386</v>
      </c>
      <c r="B83" s="210"/>
      <c r="C83" s="67">
        <f>2*SQRT(C138*C138+C129*C129)</f>
        <v>2.8139393672545783</v>
      </c>
      <c r="D83" s="67">
        <f t="shared" ref="D83:AF83" si="36">2*SQRT(D138*D138+D129*D129)</f>
        <v>480.02620624094737</v>
      </c>
      <c r="E83" s="67">
        <f t="shared" si="36"/>
        <v>44.43143196206605</v>
      </c>
      <c r="F83" s="67">
        <f t="shared" si="36"/>
        <v>52.005963489048504</v>
      </c>
      <c r="G83" s="67">
        <f t="shared" si="36"/>
        <v>57.90212712915865</v>
      </c>
      <c r="H83" s="67">
        <f t="shared" si="36"/>
        <v>51.525404768593638</v>
      </c>
      <c r="I83" s="67">
        <f t="shared" si="36"/>
        <v>27.413639067069081</v>
      </c>
      <c r="J83" s="67">
        <f t="shared" si="36"/>
        <v>21.94526996947674</v>
      </c>
      <c r="K83" s="67">
        <f t="shared" si="36"/>
        <v>0.20180319109851225</v>
      </c>
      <c r="L83" s="67">
        <f t="shared" si="36"/>
        <v>0.30698261735018961</v>
      </c>
      <c r="M83" s="67">
        <f t="shared" si="36"/>
        <v>0.30895041037955456</v>
      </c>
      <c r="N83" s="67">
        <f t="shared" si="36"/>
        <v>0.25380096248858669</v>
      </c>
      <c r="O83" s="67">
        <f t="shared" si="36"/>
        <v>0.55941728227304455</v>
      </c>
      <c r="P83" s="67">
        <f t="shared" si="36"/>
        <v>0.31289083520205679</v>
      </c>
      <c r="Q83" s="67">
        <f t="shared" si="36"/>
        <v>1.2422219416929636</v>
      </c>
      <c r="R83" s="67">
        <f t="shared" si="36"/>
        <v>2.2106136436390855</v>
      </c>
      <c r="S83" s="67">
        <f t="shared" si="36"/>
        <v>2.4028767016850439</v>
      </c>
      <c r="T83" s="67">
        <f t="shared" si="36"/>
        <v>2.8680575814522644</v>
      </c>
      <c r="U83" s="67">
        <f t="shared" si="36"/>
        <v>5.1024842980526133</v>
      </c>
      <c r="V83" s="67">
        <f t="shared" si="36"/>
        <v>8.6055079439702737</v>
      </c>
      <c r="W83" s="67">
        <f t="shared" si="36"/>
        <v>15.831564140056829</v>
      </c>
      <c r="X83" s="67">
        <f t="shared" si="36"/>
        <v>1.9014415949129047</v>
      </c>
      <c r="Y83" s="67">
        <f t="shared" si="36"/>
        <v>3.4975253384593978</v>
      </c>
      <c r="Z83" s="67">
        <f t="shared" si="36"/>
        <v>4.3543748260744932</v>
      </c>
      <c r="AA83" s="67">
        <f t="shared" si="36"/>
        <v>9.0586330295022832E-2</v>
      </c>
      <c r="AB83" s="67">
        <f t="shared" si="36"/>
        <v>9.7704808657056011E-2</v>
      </c>
      <c r="AC83" s="67">
        <f t="shared" si="36"/>
        <v>8.8313192491927164E-2</v>
      </c>
      <c r="AD83" s="67">
        <f t="shared" si="36"/>
        <v>8.895385843604911E-2</v>
      </c>
      <c r="AE83" s="67">
        <f t="shared" si="36"/>
        <v>9.3280195925673604E-2</v>
      </c>
      <c r="AF83" s="67">
        <f t="shared" si="36"/>
        <v>8.9203371337837387E-2</v>
      </c>
      <c r="AG83" s="11"/>
    </row>
    <row r="84" spans="1:33" s="10" customFormat="1" x14ac:dyDescent="0.2">
      <c r="A84" s="209" t="s">
        <v>179</v>
      </c>
      <c r="B84" s="225"/>
      <c r="C84" s="66">
        <f>IF('Raw Data Input'!$AT$56="t75",(IF('Raw Data Input'!$AT$54="magma",'Data Reduction Engine'!C679,'Data Reduction Engine'!C684)),(IF('Raw Data Input'!$AT$54="magma",'Data Reduction Engine'!C710,'Data Reduction Engine'!C716)))</f>
        <v>1.2881746434560566E-2</v>
      </c>
      <c r="D84" s="66">
        <f>IF('Raw Data Input'!$AT$56="t75",(IF('Raw Data Input'!$AT$54="magma",'Data Reduction Engine'!D679,'Data Reduction Engine'!D684)),(IF('Raw Data Input'!$AT$54="magma",'Data Reduction Engine'!D710,'Data Reduction Engine'!D716)))</f>
        <v>1.3940896708129098E-2</v>
      </c>
      <c r="E84" s="66">
        <f>IF('Raw Data Input'!$AT$56="t75",(IF('Raw Data Input'!$AT$54="magma",'Data Reduction Engine'!E679,'Data Reduction Engine'!E684)),(IF('Raw Data Input'!$AT$54="magma",'Data Reduction Engine'!E710,'Data Reduction Engine'!E716)))</f>
        <v>1.39864900845026E-2</v>
      </c>
      <c r="F84" s="66">
        <f>IF('Raw Data Input'!$AT$56="t75",(IF('Raw Data Input'!$AT$54="magma",'Data Reduction Engine'!F679,'Data Reduction Engine'!F684)),(IF('Raw Data Input'!$AT$54="magma",'Data Reduction Engine'!F710,'Data Reduction Engine'!F716)))</f>
        <v>1.2069888502498342E-2</v>
      </c>
      <c r="G84" s="66">
        <f>IF('Raw Data Input'!$AT$56="t75",(IF('Raw Data Input'!$AT$54="magma",'Data Reduction Engine'!G679,'Data Reduction Engine'!G684)),(IF('Raw Data Input'!$AT$54="magma",'Data Reduction Engine'!G710,'Data Reduction Engine'!G716)))</f>
        <v>1.4424690920665095E-2</v>
      </c>
      <c r="H84" s="66">
        <f>IF('Raw Data Input'!$AT$56="t75",(IF('Raw Data Input'!$AT$54="magma",'Data Reduction Engine'!H679,'Data Reduction Engine'!H684)),(IF('Raw Data Input'!$AT$54="magma",'Data Reduction Engine'!H710,'Data Reduction Engine'!H716)))</f>
        <v>1.4858890083390064E-2</v>
      </c>
      <c r="I84" s="66">
        <f>IF('Raw Data Input'!$AT$56="t75",(IF('Raw Data Input'!$AT$54="magma",'Data Reduction Engine'!I679,'Data Reduction Engine'!I684)),(IF('Raw Data Input'!$AT$54="magma",'Data Reduction Engine'!I710,'Data Reduction Engine'!I716)))</f>
        <v>1.3542573842664673E-2</v>
      </c>
      <c r="J84" s="66">
        <f>IF('Raw Data Input'!$AT$56="t75",(IF('Raw Data Input'!$AT$54="magma",'Data Reduction Engine'!J679,'Data Reduction Engine'!J684)),(IF('Raw Data Input'!$AT$54="magma",'Data Reduction Engine'!J710,'Data Reduction Engine'!J716)))</f>
        <v>1.3962492787955754E-2</v>
      </c>
      <c r="K84" s="66">
        <f>IF('Raw Data Input'!$AT$56="t75",(IF('Raw Data Input'!$AT$54="magma",'Data Reduction Engine'!K679,'Data Reduction Engine'!K684)),(IF('Raw Data Input'!$AT$54="magma",'Data Reduction Engine'!K710,'Data Reduction Engine'!K716)))</f>
        <v>6.9416493949732393E-3</v>
      </c>
      <c r="L84" s="66">
        <f>IF('Raw Data Input'!$AT$56="t75",(IF('Raw Data Input'!$AT$54="magma",'Data Reduction Engine'!L679,'Data Reduction Engine'!L684)),(IF('Raw Data Input'!$AT$54="magma",'Data Reduction Engine'!L710,'Data Reduction Engine'!L716)))</f>
        <v>6.9404024479669153E-3</v>
      </c>
      <c r="M84" s="66">
        <f>IF('Raw Data Input'!$AT$56="t75",(IF('Raw Data Input'!$AT$54="magma",'Data Reduction Engine'!M679,'Data Reduction Engine'!M684)),(IF('Raw Data Input'!$AT$54="magma",'Data Reduction Engine'!M710,'Data Reduction Engine'!M716)))</f>
        <v>6.9399654224771897E-3</v>
      </c>
      <c r="N84" s="66">
        <f>IF('Raw Data Input'!$AT$56="t75",(IF('Raw Data Input'!$AT$54="magma",'Data Reduction Engine'!N679,'Data Reduction Engine'!N684)),(IF('Raw Data Input'!$AT$54="magma",'Data Reduction Engine'!N710,'Data Reduction Engine'!N716)))</f>
        <v>6.9398968525109421E-3</v>
      </c>
      <c r="O84" s="66">
        <f>IF('Raw Data Input'!$AT$56="t75",(IF('Raw Data Input'!$AT$54="magma",'Data Reduction Engine'!O679,'Data Reduction Engine'!O684)),(IF('Raw Data Input'!$AT$54="magma",'Data Reduction Engine'!O710,'Data Reduction Engine'!O716)))</f>
        <v>6.9366461211466538E-3</v>
      </c>
      <c r="P84" s="66">
        <f>IF('Raw Data Input'!$AT$56="t75",(IF('Raw Data Input'!$AT$54="magma",'Data Reduction Engine'!P679,'Data Reduction Engine'!P684)),(IF('Raw Data Input'!$AT$54="magma",'Data Reduction Engine'!P710,'Data Reduction Engine'!P716)))</f>
        <v>6.938140574482555E-3</v>
      </c>
      <c r="Q84" s="66">
        <f>IF('Raw Data Input'!$AT$56="t75",(IF('Raw Data Input'!$AT$54="magma",'Data Reduction Engine'!Q679,'Data Reduction Engine'!Q684)),(IF('Raw Data Input'!$AT$54="magma",'Data Reduction Engine'!Q710,'Data Reduction Engine'!Q716)))</f>
        <v>6.9285128473670762E-3</v>
      </c>
      <c r="R84" s="66">
        <f>IF('Raw Data Input'!$AT$56="t75",(IF('Raw Data Input'!$AT$54="magma",'Data Reduction Engine'!R679,'Data Reduction Engine'!R684)),(IF('Raw Data Input'!$AT$54="magma",'Data Reduction Engine'!R710,'Data Reduction Engine'!R716)))</f>
        <v>4.4303428167556617E-3</v>
      </c>
      <c r="S84" s="66">
        <f>IF('Raw Data Input'!$AT$56="t75",(IF('Raw Data Input'!$AT$54="magma",'Data Reduction Engine'!S679,'Data Reduction Engine'!S684)),(IF('Raw Data Input'!$AT$54="magma",'Data Reduction Engine'!S710,'Data Reduction Engine'!S716)))</f>
        <v>4.4300644912953465E-3</v>
      </c>
      <c r="T84" s="66">
        <f>IF('Raw Data Input'!$AT$56="t75",(IF('Raw Data Input'!$AT$54="magma",'Data Reduction Engine'!T679,'Data Reduction Engine'!T684)),(IF('Raw Data Input'!$AT$54="magma",'Data Reduction Engine'!T710,'Data Reduction Engine'!T716)))</f>
        <v>4.4074705912743343E-3</v>
      </c>
      <c r="U84" s="66">
        <f>IF('Raw Data Input'!$AT$56="t75",(IF('Raw Data Input'!$AT$54="magma",'Data Reduction Engine'!U679,'Data Reduction Engine'!U684)),(IF('Raw Data Input'!$AT$54="magma",'Data Reduction Engine'!U710,'Data Reduction Engine'!U716)))</f>
        <v>4.4068164813380823E-3</v>
      </c>
      <c r="V84" s="66">
        <f>IF('Raw Data Input'!$AT$56="t75",(IF('Raw Data Input'!$AT$54="magma",'Data Reduction Engine'!V679,'Data Reduction Engine'!V684)),(IF('Raw Data Input'!$AT$54="magma",'Data Reduction Engine'!V710,'Data Reduction Engine'!V716)))</f>
        <v>4.3909287006523414E-3</v>
      </c>
      <c r="W84" s="66">
        <f>IF('Raw Data Input'!$AT$56="t75",(IF('Raw Data Input'!$AT$54="magma",'Data Reduction Engine'!W679,'Data Reduction Engine'!W684)),(IF('Raw Data Input'!$AT$54="magma",'Data Reduction Engine'!W710,'Data Reduction Engine'!W716)))</f>
        <v>4.3908290822692641E-3</v>
      </c>
      <c r="X84" s="66">
        <f>IF('Raw Data Input'!$AT$56="t75",(IF('Raw Data Input'!$AT$54="magma",'Data Reduction Engine'!X679,'Data Reduction Engine'!X684)),(IF('Raw Data Input'!$AT$54="magma",'Data Reduction Engine'!X710,'Data Reduction Engine'!X716)))</f>
        <v>4.4432238191768917E-3</v>
      </c>
      <c r="Y84" s="66">
        <f>IF('Raw Data Input'!$AT$56="t75",(IF('Raw Data Input'!$AT$54="magma",'Data Reduction Engine'!Y679,'Data Reduction Engine'!Y684)),(IF('Raw Data Input'!$AT$54="magma",'Data Reduction Engine'!Y710,'Data Reduction Engine'!Y716)))</f>
        <v>4.4214579428414674E-3</v>
      </c>
      <c r="Z84" s="66">
        <f>IF('Raw Data Input'!$AT$56="t75",(IF('Raw Data Input'!$AT$54="magma",'Data Reduction Engine'!Z679,'Data Reduction Engine'!Z684)),(IF('Raw Data Input'!$AT$54="magma",'Data Reduction Engine'!Z710,'Data Reduction Engine'!Z716)))</f>
        <v>4.4102482884234486E-3</v>
      </c>
      <c r="AA84" s="66">
        <f>IF('Raw Data Input'!$AT$56="t75",(IF('Raw Data Input'!$AT$54="magma",'Data Reduction Engine'!AA679,'Data Reduction Engine'!AA684)),(IF('Raw Data Input'!$AT$54="magma",'Data Reduction Engine'!AA710,'Data Reduction Engine'!AA716)))</f>
        <v>0.49044048277507019</v>
      </c>
      <c r="AB84" s="66">
        <f>IF('Raw Data Input'!$AT$56="t75",(IF('Raw Data Input'!$AT$54="magma",'Data Reduction Engine'!AB679,'Data Reduction Engine'!AB684)),(IF('Raw Data Input'!$AT$54="magma",'Data Reduction Engine'!AB710,'Data Reduction Engine'!AB716)))</f>
        <v>0.49173590890573865</v>
      </c>
      <c r="AC84" s="66">
        <f>IF('Raw Data Input'!$AT$56="t75",(IF('Raw Data Input'!$AT$54="magma",'Data Reduction Engine'!AC679,'Data Reduction Engine'!AC684)),(IF('Raw Data Input'!$AT$54="magma",'Data Reduction Engine'!AC710,'Data Reduction Engine'!AC716)))</f>
        <v>0.49149619933615879</v>
      </c>
      <c r="AD84" s="66">
        <f>IF('Raw Data Input'!$AT$56="t75",(IF('Raw Data Input'!$AT$54="magma",'Data Reduction Engine'!AD679,'Data Reduction Engine'!AD684)),(IF('Raw Data Input'!$AT$54="magma",'Data Reduction Engine'!AD710,'Data Reduction Engine'!AD716)))</f>
        <v>0.4917088173256895</v>
      </c>
      <c r="AE84" s="66">
        <f>IF('Raw Data Input'!$AT$56="t75",(IF('Raw Data Input'!$AT$54="magma",'Data Reduction Engine'!AE679,'Data Reduction Engine'!AE684)),(IF('Raw Data Input'!$AT$54="magma",'Data Reduction Engine'!AE710,'Data Reduction Engine'!AE716)))</f>
        <v>0.49064745140199373</v>
      </c>
      <c r="AF84" s="66">
        <f>IF('Raw Data Input'!$AT$56="t75",(IF('Raw Data Input'!$AT$54="magma",'Data Reduction Engine'!AF679,'Data Reduction Engine'!AF684)),(IF('Raw Data Input'!$AT$54="magma",'Data Reduction Engine'!AF710,'Data Reduction Engine'!AF716)))</f>
        <v>0.49164882152966494</v>
      </c>
      <c r="AG84" s="9"/>
    </row>
    <row r="85" spans="1:33" s="12" customFormat="1" x14ac:dyDescent="0.2">
      <c r="A85" s="44" t="s">
        <v>386</v>
      </c>
      <c r="B85" s="210"/>
      <c r="C85" s="69">
        <f xml:space="preserve"> IF('Raw Data Input'!$AT$54="magma",2*(SQRT(C656^2+C658^2+C660^2+C662^2)/C84)*100, 2*(SQRT(C665^2+C667^2+C669^2)/C84)*100)</f>
        <v>0.49484964628897876</v>
      </c>
      <c r="D85" s="69">
        <f xml:space="preserve"> IF('Raw Data Input'!$AT$54="magma",2*(SQRT(D656^2+D658^2+D660^2+D662^2)/D84)*100, 2*(SQRT(D665^2+D667^2+D669^2)/D84)*100)</f>
        <v>5.8509732979445088</v>
      </c>
      <c r="E85" s="69">
        <f xml:space="preserve"> IF('Raw Data Input'!$AT$54="magma",2*(SQRT(E656^2+E658^2+E660^2+E662^2)/E84)*100, 2*(SQRT(E665^2+E667^2+E669^2)/E84)*100)</f>
        <v>4.3346302452446617</v>
      </c>
      <c r="F85" s="69">
        <f xml:space="preserve"> IF('Raw Data Input'!$AT$54="magma",2*(SQRT(F656^2+F658^2+F660^2+F662^2)/F84)*100, 2*(SQRT(F665^2+F667^2+F669^2)/F84)*100)</f>
        <v>9.6952733380083149</v>
      </c>
      <c r="G85" s="69">
        <f xml:space="preserve"> IF('Raw Data Input'!$AT$54="magma",2*(SQRT(G656^2+G658^2+G660^2+G662^2)/G84)*100, 2*(SQRT(G665^2+G667^2+G669^2)/G84)*100)</f>
        <v>5.6787884723004254</v>
      </c>
      <c r="H85" s="69">
        <f xml:space="preserve"> IF('Raw Data Input'!$AT$54="magma",2*(SQRT(H656^2+H658^2+H660^2+H662^2)/H84)*100, 2*(SQRT(H665^2+H667^2+H669^2)/H84)*100)</f>
        <v>5.8980615896675612</v>
      </c>
      <c r="I85" s="69">
        <f xml:space="preserve"> IF('Raw Data Input'!$AT$54="magma",2*(SQRT(I656^2+I658^2+I660^2+I662^2)/I84)*100, 2*(SQRT(I665^2+I667^2+I669^2)/I84)*100)</f>
        <v>3.0829705529155405</v>
      </c>
      <c r="J85" s="69">
        <f xml:space="preserve"> IF('Raw Data Input'!$AT$54="magma",2*(SQRT(J656^2+J658^2+J660^2+J662^2)/J84)*100, 2*(SQRT(J665^2+J667^2+J669^2)/J84)*100)</f>
        <v>3.5986844640114564</v>
      </c>
      <c r="K85" s="69">
        <f xml:space="preserve"> IF('Raw Data Input'!$AT$54="magma",2*(SQRT(K656^2+K658^2+K660^2+K662^2)/K84)*100, 2*(SQRT(K665^2+K667^2+K669^2)/K84)*100)</f>
        <v>6.9943336533119696E-2</v>
      </c>
      <c r="L85" s="69">
        <f xml:space="preserve"> IF('Raw Data Input'!$AT$54="magma",2*(SQRT(L656^2+L658^2+L660^2+L662^2)/L84)*100, 2*(SQRT(L665^2+L667^2+L669^2)/L84)*100)</f>
        <v>7.3858843334822302E-2</v>
      </c>
      <c r="M85" s="69">
        <f xml:space="preserve"> IF('Raw Data Input'!$AT$54="magma",2*(SQRT(M656^2+M658^2+M660^2+M662^2)/M84)*100, 2*(SQRT(M665^2+M667^2+M669^2)/M84)*100)</f>
        <v>7.7670360813122202E-2</v>
      </c>
      <c r="N85" s="69">
        <f xml:space="preserve"> IF('Raw Data Input'!$AT$54="magma",2*(SQRT(N656^2+N658^2+N660^2+N662^2)/N84)*100, 2*(SQRT(N665^2+N667^2+N669^2)/N84)*100)</f>
        <v>7.216606949151512E-2</v>
      </c>
      <c r="O85" s="69">
        <f xml:space="preserve"> IF('Raw Data Input'!$AT$54="magma",2*(SQRT(O656^2+O658^2+O660^2+O662^2)/O84)*100, 2*(SQRT(O665^2+O667^2+O669^2)/O84)*100)</f>
        <v>8.3701927476289337E-2</v>
      </c>
      <c r="P85" s="69">
        <f xml:space="preserve"> IF('Raw Data Input'!$AT$54="magma",2*(SQRT(P656^2+P658^2+P660^2+P662^2)/P84)*100, 2*(SQRT(P665^2+P667^2+P669^2)/P84)*100)</f>
        <v>8.7384912741234153E-2</v>
      </c>
      <c r="Q85" s="69">
        <f xml:space="preserve"> IF('Raw Data Input'!$AT$54="magma",2*(SQRT(Q656^2+Q658^2+Q660^2+Q662^2)/Q84)*100, 2*(SQRT(Q665^2+Q667^2+Q669^2)/Q84)*100)</f>
        <v>0.13678923595631823</v>
      </c>
      <c r="R85" s="69">
        <f xml:space="preserve"> IF('Raw Data Input'!$AT$54="magma",2*(SQRT(R656^2+R658^2+R660^2+R662^2)/R84)*100, 2*(SQRT(R665^2+R667^2+R669^2)/R84)*100)</f>
        <v>0.1744484871337304</v>
      </c>
      <c r="S85" s="69">
        <f xml:space="preserve"> IF('Raw Data Input'!$AT$54="magma",2*(SQRT(S656^2+S658^2+S660^2+S662^2)/S84)*100, 2*(SQRT(S665^2+S667^2+S669^2)/S84)*100)</f>
        <v>0.19319410217075333</v>
      </c>
      <c r="T85" s="69">
        <f xml:space="preserve"> IF('Raw Data Input'!$AT$54="magma",2*(SQRT(T656^2+T658^2+T660^2+T662^2)/T84)*100, 2*(SQRT(T665^2+T667^2+T669^2)/T84)*100)</f>
        <v>0.21388110030633911</v>
      </c>
      <c r="U85" s="69">
        <f xml:space="preserve"> IF('Raw Data Input'!$AT$54="magma",2*(SQRT(U656^2+U658^2+U660^2+U662^2)/U84)*100, 2*(SQRT(U665^2+U667^2+U669^2)/U84)*100)</f>
        <v>0.34902299592383673</v>
      </c>
      <c r="V85" s="69">
        <f xml:space="preserve"> IF('Raw Data Input'!$AT$54="magma",2*(SQRT(V656^2+V658^2+V660^2+V662^2)/V84)*100, 2*(SQRT(V665^2+V667^2+V669^2)/V84)*100)</f>
        <v>0.45818848863278294</v>
      </c>
      <c r="W85" s="69">
        <f xml:space="preserve"> IF('Raw Data Input'!$AT$54="magma",2*(SQRT(W656^2+W658^2+W660^2+W662^2)/W84)*100, 2*(SQRT(W665^2+W667^2+W669^2)/W84)*100)</f>
        <v>0.67493144274382122</v>
      </c>
      <c r="X85" s="69">
        <f xml:space="preserve"> IF('Raw Data Input'!$AT$54="magma",2*(SQRT(X656^2+X658^2+X660^2+X662^2)/X84)*100, 2*(SQRT(X665^2+X667^2+X669^2)/X84)*100)</f>
        <v>0.166664174875223</v>
      </c>
      <c r="Y85" s="69">
        <f xml:space="preserve"> IF('Raw Data Input'!$AT$54="magma",2*(SQRT(Y656^2+Y658^2+Y660^2+Y662^2)/Y84)*100, 2*(SQRT(Y665^2+Y667^2+Y669^2)/Y84)*100)</f>
        <v>0.28120471138682701</v>
      </c>
      <c r="Z85" s="69">
        <f xml:space="preserve"> IF('Raw Data Input'!$AT$54="magma",2*(SQRT(Z656^2+Z658^2+Z660^2+Z662^2)/Z84)*100, 2*(SQRT(Z665^2+Z667^2+Z669^2)/Z84)*100)</f>
        <v>0.31525994313723893</v>
      </c>
      <c r="AA85" s="69">
        <f xml:space="preserve"> IF('Raw Data Input'!$AT$54="magma",2*(SQRT(AA656^2+AA658^2+AA660^2+AA662^2)/AA84)*100, 2*(SQRT(AA665^2+AA667^2+AA669^2)/AA84)*100)</f>
        <v>5.8170905656504984E-2</v>
      </c>
      <c r="AB85" s="69">
        <f xml:space="preserve"> IF('Raw Data Input'!$AT$54="magma",2*(SQRT(AB656^2+AB658^2+AB660^2+AB662^2)/AB84)*100, 2*(SQRT(AB665^2+AB667^2+AB669^2)/AB84)*100)</f>
        <v>6.8745898020845811E-2</v>
      </c>
      <c r="AC85" s="69">
        <f xml:space="preserve"> IF('Raw Data Input'!$AT$54="magma",2*(SQRT(AC656^2+AC658^2+AC660^2+AC662^2)/AC84)*100, 2*(SQRT(AC665^2+AC667^2+AC669^2)/AC84)*100)</f>
        <v>5.4399569559332894E-2</v>
      </c>
      <c r="AD85" s="69">
        <f xml:space="preserve"> IF('Raw Data Input'!$AT$54="magma",2*(SQRT(AD656^2+AD658^2+AD660^2+AD662^2)/AD84)*100, 2*(SQRT(AD665^2+AD667^2+AD669^2)/AD84)*100)</f>
        <v>5.5497632113859739E-2</v>
      </c>
      <c r="AE85" s="69">
        <f xml:space="preserve"> IF('Raw Data Input'!$AT$54="magma",2*(SQRT(AE656^2+AE658^2+AE660^2+AE662^2)/AE84)*100, 2*(SQRT(AE665^2+AE667^2+AE669^2)/AE84)*100)</f>
        <v>6.236067458773166E-2</v>
      </c>
      <c r="AF85" s="69">
        <f xml:space="preserve"> IF('Raw Data Input'!$AT$54="magma",2*(SQRT(AF656^2+AF658^2+AF660^2+AF662^2)/AF84)*100, 2*(SQRT(AF665^2+AF667^2+AF669^2)/AF84)*100)</f>
        <v>5.6212703906386885E-2</v>
      </c>
      <c r="AG85" s="11"/>
    </row>
    <row r="86" spans="1:33" s="12" customFormat="1" x14ac:dyDescent="0.2">
      <c r="A86" s="44" t="s">
        <v>180</v>
      </c>
      <c r="B86" s="226"/>
      <c r="C86" s="68">
        <f>((C70/2)^2+(C72/2)^2-(C78/2)^2)/(2*(C70/2)*(C72/2))</f>
        <v>0.19931944873939728</v>
      </c>
      <c r="D86" s="68">
        <f t="shared" ref="D86:AF86" si="37">((D70/2)^2+(D72/2)^2-(D78/2)^2)/(2*(D70/2)*(D72/2))</f>
        <v>0.11357923781939609</v>
      </c>
      <c r="E86" s="68">
        <f t="shared" si="37"/>
        <v>0.11968877203685462</v>
      </c>
      <c r="F86" s="68">
        <f t="shared" si="37"/>
        <v>8.123992866837193E-2</v>
      </c>
      <c r="G86" s="68">
        <f t="shared" si="37"/>
        <v>0.11822781349545561</v>
      </c>
      <c r="H86" s="68">
        <f t="shared" si="37"/>
        <v>9.5132547759496894E-2</v>
      </c>
      <c r="I86" s="68">
        <f t="shared" si="37"/>
        <v>0.14610424081965501</v>
      </c>
      <c r="J86" s="68">
        <f t="shared" si="37"/>
        <v>0.11230814990419177</v>
      </c>
      <c r="K86" s="68">
        <f t="shared" si="37"/>
        <v>0.7980418406065134</v>
      </c>
      <c r="L86" s="68">
        <f t="shared" si="37"/>
        <v>0.67220252075040021</v>
      </c>
      <c r="M86" s="68">
        <f t="shared" si="37"/>
        <v>0.66368549996788773</v>
      </c>
      <c r="N86" s="68">
        <f t="shared" si="37"/>
        <v>0.71319552863272651</v>
      </c>
      <c r="O86" s="68">
        <f t="shared" si="37"/>
        <v>0.69431258324036393</v>
      </c>
      <c r="P86" s="68">
        <f t="shared" si="37"/>
        <v>0.63622057000122545</v>
      </c>
      <c r="Q86" s="68">
        <f t="shared" si="37"/>
        <v>0.65448449651995688</v>
      </c>
      <c r="R86" s="68">
        <f t="shared" si="37"/>
        <v>0.79385949809343836</v>
      </c>
      <c r="S86" s="68">
        <f t="shared" si="37"/>
        <v>0.76718807812250278</v>
      </c>
      <c r="T86" s="68">
        <f t="shared" si="37"/>
        <v>0.77956539973174743</v>
      </c>
      <c r="U86" s="68">
        <f t="shared" si="37"/>
        <v>0.68607750377222876</v>
      </c>
      <c r="V86" s="68">
        <f t="shared" si="37"/>
        <v>0.56238763608199704</v>
      </c>
      <c r="W86" s="68">
        <f t="shared" si="37"/>
        <v>0.44618283167072509</v>
      </c>
      <c r="X86" s="68">
        <f t="shared" si="37"/>
        <v>0.75575281836364161</v>
      </c>
      <c r="Y86" s="68">
        <f t="shared" si="37"/>
        <v>0.7852912129995091</v>
      </c>
      <c r="Z86" s="68">
        <f t="shared" si="37"/>
        <v>0.71091583322817853</v>
      </c>
      <c r="AA86" s="68">
        <f t="shared" si="37"/>
        <v>0.94629615307582715</v>
      </c>
      <c r="AB86" s="68">
        <f t="shared" si="37"/>
        <v>0.94155019522986261</v>
      </c>
      <c r="AC86" s="68">
        <f t="shared" si="37"/>
        <v>0.94929875746446046</v>
      </c>
      <c r="AD86" s="68">
        <f t="shared" si="37"/>
        <v>0.94944741450223125</v>
      </c>
      <c r="AE86" s="68">
        <f t="shared" si="37"/>
        <v>0.94563757254008551</v>
      </c>
      <c r="AF86" s="68">
        <f t="shared" si="37"/>
        <v>0.95537940982887171</v>
      </c>
      <c r="AG86" s="13"/>
    </row>
    <row r="87" spans="1:33" s="12" customFormat="1" x14ac:dyDescent="0.2">
      <c r="A87" s="44"/>
      <c r="B87" s="226"/>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13"/>
    </row>
    <row r="88" spans="1:33" s="10" customFormat="1" x14ac:dyDescent="0.2">
      <c r="A88" s="209" t="s">
        <v>181</v>
      </c>
      <c r="B88" s="227"/>
      <c r="C88" s="69">
        <f>1/C84</f>
        <v>77.62922559297472</v>
      </c>
      <c r="D88" s="69">
        <f t="shared" ref="D88:AF88" si="38">1/D84</f>
        <v>71.731397264918286</v>
      </c>
      <c r="E88" s="69">
        <f t="shared" si="38"/>
        <v>71.497566148352433</v>
      </c>
      <c r="F88" s="69">
        <f t="shared" si="38"/>
        <v>82.85080676536576</v>
      </c>
      <c r="G88" s="69">
        <f t="shared" si="38"/>
        <v>69.325575535721214</v>
      </c>
      <c r="H88" s="69">
        <f t="shared" si="38"/>
        <v>67.299777734936271</v>
      </c>
      <c r="I88" s="69">
        <f t="shared" si="38"/>
        <v>73.84120711600545</v>
      </c>
      <c r="J88" s="69">
        <f t="shared" si="38"/>
        <v>71.620448811448213</v>
      </c>
      <c r="K88" s="69">
        <f t="shared" si="38"/>
        <v>144.05798148263509</v>
      </c>
      <c r="L88" s="69">
        <f t="shared" si="38"/>
        <v>144.08386365158617</v>
      </c>
      <c r="M88" s="69">
        <f t="shared" si="38"/>
        <v>144.09293694190401</v>
      </c>
      <c r="N88" s="69">
        <f t="shared" si="38"/>
        <v>144.09436065871606</v>
      </c>
      <c r="O88" s="69">
        <f t="shared" si="38"/>
        <v>144.16188782522124</v>
      </c>
      <c r="P88" s="69">
        <f t="shared" si="38"/>
        <v>144.13083581469229</v>
      </c>
      <c r="Q88" s="69">
        <f t="shared" si="38"/>
        <v>144.33111722958165</v>
      </c>
      <c r="R88" s="69">
        <f t="shared" si="38"/>
        <v>225.71616720448276</v>
      </c>
      <c r="S88" s="69">
        <f t="shared" si="38"/>
        <v>225.73034816195215</v>
      </c>
      <c r="T88" s="69">
        <f t="shared" si="38"/>
        <v>226.88750368062455</v>
      </c>
      <c r="U88" s="69">
        <f t="shared" si="38"/>
        <v>226.92118091025219</v>
      </c>
      <c r="V88" s="69">
        <f t="shared" si="38"/>
        <v>227.74225412756857</v>
      </c>
      <c r="W88" s="69">
        <f t="shared" si="38"/>
        <v>227.74742110507771</v>
      </c>
      <c r="X88" s="69">
        <f t="shared" si="38"/>
        <v>225.06181113002097</v>
      </c>
      <c r="Y88" s="69">
        <f t="shared" si="38"/>
        <v>226.16974150326217</v>
      </c>
      <c r="Z88" s="69">
        <f t="shared" si="38"/>
        <v>226.74460361447689</v>
      </c>
      <c r="AA88" s="69">
        <f t="shared" si="38"/>
        <v>2.0389833937477548</v>
      </c>
      <c r="AB88" s="69">
        <f t="shared" si="38"/>
        <v>2.0336119081181256</v>
      </c>
      <c r="AC88" s="69">
        <f t="shared" si="38"/>
        <v>2.0346037290840782</v>
      </c>
      <c r="AD88" s="69">
        <f t="shared" si="38"/>
        <v>2.033723953617121</v>
      </c>
      <c r="AE88" s="69">
        <f t="shared" si="38"/>
        <v>2.0381232943176695</v>
      </c>
      <c r="AF88" s="69">
        <f t="shared" si="38"/>
        <v>2.0339721284975405</v>
      </c>
      <c r="AG88" s="14"/>
    </row>
    <row r="89" spans="1:33" s="12" customFormat="1" x14ac:dyDescent="0.2">
      <c r="A89" s="44" t="s">
        <v>386</v>
      </c>
      <c r="B89" s="210"/>
      <c r="C89" s="67">
        <f>C85</f>
        <v>0.49484964628897876</v>
      </c>
      <c r="D89" s="67">
        <f t="shared" ref="D89:AF89" si="39">D85</f>
        <v>5.8509732979445088</v>
      </c>
      <c r="E89" s="67">
        <f t="shared" si="39"/>
        <v>4.3346302452446617</v>
      </c>
      <c r="F89" s="67">
        <f t="shared" si="39"/>
        <v>9.6952733380083149</v>
      </c>
      <c r="G89" s="67">
        <f t="shared" si="39"/>
        <v>5.6787884723004254</v>
      </c>
      <c r="H89" s="67">
        <f t="shared" si="39"/>
        <v>5.8980615896675612</v>
      </c>
      <c r="I89" s="67">
        <f t="shared" si="39"/>
        <v>3.0829705529155405</v>
      </c>
      <c r="J89" s="67">
        <f t="shared" si="39"/>
        <v>3.5986844640114564</v>
      </c>
      <c r="K89" s="67">
        <f t="shared" si="39"/>
        <v>6.9943336533119696E-2</v>
      </c>
      <c r="L89" s="67">
        <f t="shared" si="39"/>
        <v>7.3858843334822302E-2</v>
      </c>
      <c r="M89" s="67">
        <f t="shared" si="39"/>
        <v>7.7670360813122202E-2</v>
      </c>
      <c r="N89" s="67">
        <f t="shared" si="39"/>
        <v>7.216606949151512E-2</v>
      </c>
      <c r="O89" s="67">
        <f t="shared" si="39"/>
        <v>8.3701927476289337E-2</v>
      </c>
      <c r="P89" s="67">
        <f t="shared" si="39"/>
        <v>8.7384912741234153E-2</v>
      </c>
      <c r="Q89" s="67">
        <f t="shared" si="39"/>
        <v>0.13678923595631823</v>
      </c>
      <c r="R89" s="67">
        <f t="shared" si="39"/>
        <v>0.1744484871337304</v>
      </c>
      <c r="S89" s="67">
        <f t="shared" si="39"/>
        <v>0.19319410217075333</v>
      </c>
      <c r="T89" s="67">
        <f t="shared" si="39"/>
        <v>0.21388110030633911</v>
      </c>
      <c r="U89" s="67">
        <f t="shared" si="39"/>
        <v>0.34902299592383673</v>
      </c>
      <c r="V89" s="67">
        <f t="shared" si="39"/>
        <v>0.45818848863278294</v>
      </c>
      <c r="W89" s="67">
        <f t="shared" si="39"/>
        <v>0.67493144274382122</v>
      </c>
      <c r="X89" s="67">
        <f t="shared" si="39"/>
        <v>0.166664174875223</v>
      </c>
      <c r="Y89" s="67">
        <f t="shared" si="39"/>
        <v>0.28120471138682701</v>
      </c>
      <c r="Z89" s="67">
        <f t="shared" si="39"/>
        <v>0.31525994313723893</v>
      </c>
      <c r="AA89" s="67">
        <f t="shared" si="39"/>
        <v>5.8170905656504984E-2</v>
      </c>
      <c r="AB89" s="67">
        <f t="shared" si="39"/>
        <v>6.8745898020845811E-2</v>
      </c>
      <c r="AC89" s="67">
        <f t="shared" si="39"/>
        <v>5.4399569559332894E-2</v>
      </c>
      <c r="AD89" s="67">
        <f t="shared" si="39"/>
        <v>5.5497632113859739E-2</v>
      </c>
      <c r="AE89" s="67">
        <f t="shared" si="39"/>
        <v>6.236067458773166E-2</v>
      </c>
      <c r="AF89" s="67">
        <f t="shared" si="39"/>
        <v>5.6212703906386885E-2</v>
      </c>
      <c r="AG89" s="11"/>
    </row>
    <row r="90" spans="1:33" s="10" customFormat="1" x14ac:dyDescent="0.2">
      <c r="A90" s="209" t="s">
        <v>182</v>
      </c>
      <c r="B90" s="225"/>
      <c r="C90" s="66">
        <f>C729</f>
        <v>4.8281919269647103E-2</v>
      </c>
      <c r="D90" s="66">
        <f t="shared" ref="D90:AF90" si="40">D729</f>
        <v>1.7815838496368263E-2</v>
      </c>
      <c r="E90" s="66">
        <f t="shared" si="40"/>
        <v>4.2971107197951199E-2</v>
      </c>
      <c r="F90" s="66">
        <f t="shared" si="40"/>
        <v>4.9076664758521148E-2</v>
      </c>
      <c r="G90" s="66">
        <f t="shared" si="40"/>
        <v>3.0564951225558468E-2</v>
      </c>
      <c r="H90" s="66">
        <f t="shared" si="40"/>
        <v>4.8101515464455E-2</v>
      </c>
      <c r="I90" s="66">
        <f t="shared" si="40"/>
        <v>4.5156059383144896E-2</v>
      </c>
      <c r="J90" s="66">
        <f t="shared" si="40"/>
        <v>5.4958203516352985E-2</v>
      </c>
      <c r="K90" s="66">
        <f t="shared" si="40"/>
        <v>4.7039043452681881E-2</v>
      </c>
      <c r="L90" s="66">
        <f t="shared" si="40"/>
        <v>4.7047122506225225E-2</v>
      </c>
      <c r="M90" s="66">
        <f t="shared" si="40"/>
        <v>4.702874212656781E-2</v>
      </c>
      <c r="N90" s="66">
        <f t="shared" si="40"/>
        <v>4.699241256271177E-2</v>
      </c>
      <c r="O90" s="66">
        <f t="shared" si="40"/>
        <v>4.6965979528843516E-2</v>
      </c>
      <c r="P90" s="66">
        <f t="shared" si="40"/>
        <v>4.6815048765959745E-2</v>
      </c>
      <c r="Q90" s="66">
        <f t="shared" si="40"/>
        <v>4.6309530348752487E-2</v>
      </c>
      <c r="R90" s="66">
        <f t="shared" si="40"/>
        <v>4.5307165688968282E-2</v>
      </c>
      <c r="S90" s="66">
        <f t="shared" si="40"/>
        <v>4.5639449674190549E-2</v>
      </c>
      <c r="T90" s="66">
        <f t="shared" si="40"/>
        <v>4.6010393628588907E-2</v>
      </c>
      <c r="U90" s="66">
        <f t="shared" si="40"/>
        <v>4.6325020303786206E-2</v>
      </c>
      <c r="V90" s="66">
        <f t="shared" si="40"/>
        <v>4.4298496118741156E-2</v>
      </c>
      <c r="W90" s="66">
        <f t="shared" si="40"/>
        <v>4.4510644075914894E-2</v>
      </c>
      <c r="X90" s="66">
        <f t="shared" si="40"/>
        <v>4.6713274821727435E-2</v>
      </c>
      <c r="Y90" s="66">
        <f t="shared" si="40"/>
        <v>4.6766862875361338E-2</v>
      </c>
      <c r="Z90" s="66">
        <f t="shared" si="40"/>
        <v>4.5897701357723038E-2</v>
      </c>
      <c r="AA90" s="66">
        <f t="shared" si="40"/>
        <v>0.17248103230713305</v>
      </c>
      <c r="AB90" s="66">
        <f t="shared" si="40"/>
        <v>0.17263507470686937</v>
      </c>
      <c r="AC90" s="66">
        <f t="shared" si="40"/>
        <v>0.17264475434158366</v>
      </c>
      <c r="AD90" s="66">
        <f t="shared" si="40"/>
        <v>0.17268024156161021</v>
      </c>
      <c r="AE90" s="66">
        <f t="shared" si="40"/>
        <v>0.17246546577381075</v>
      </c>
      <c r="AF90" s="66">
        <f t="shared" si="40"/>
        <v>0.17267548820801928</v>
      </c>
      <c r="AG90" s="9"/>
    </row>
    <row r="91" spans="1:33" s="12" customFormat="1" x14ac:dyDescent="0.2">
      <c r="A91" s="44" t="s">
        <v>386</v>
      </c>
      <c r="B91" s="210"/>
      <c r="C91" s="67">
        <f>2*100*SQRT(C518+C519-(2*C516)/C517)</f>
        <v>2.7582586696861684</v>
      </c>
      <c r="D91" s="67">
        <f t="shared" ref="D91:AF91" si="41">2*100*SQRT(D518+D519-(2*D516)/D517)</f>
        <v>479.39632873018121</v>
      </c>
      <c r="E91" s="67">
        <f t="shared" si="41"/>
        <v>44.122900467639028</v>
      </c>
      <c r="F91" s="67">
        <f t="shared" si="41"/>
        <v>52.123056410398547</v>
      </c>
      <c r="G91" s="67">
        <f t="shared" si="41"/>
        <v>57.5077621378028</v>
      </c>
      <c r="H91" s="67">
        <f t="shared" si="41"/>
        <v>51.301496988464947</v>
      </c>
      <c r="I91" s="67">
        <f t="shared" si="41"/>
        <v>27.135043209335468</v>
      </c>
      <c r="J91" s="67">
        <f t="shared" si="41"/>
        <v>21.83608011496921</v>
      </c>
      <c r="K91" s="67">
        <f t="shared" si="41"/>
        <v>0.15463316337931962</v>
      </c>
      <c r="L91" s="67">
        <f t="shared" si="41"/>
        <v>0.26519393607809255</v>
      </c>
      <c r="M91" s="67">
        <f t="shared" si="41"/>
        <v>0.26579095514272977</v>
      </c>
      <c r="N91" s="67">
        <f t="shared" si="41"/>
        <v>0.21081459181025836</v>
      </c>
      <c r="O91" s="67">
        <f t="shared" si="41"/>
        <v>0.5070909329239891</v>
      </c>
      <c r="P91" s="67">
        <f t="shared" si="41"/>
        <v>0.2674386680825539</v>
      </c>
      <c r="Q91" s="67">
        <f t="shared" si="41"/>
        <v>1.1585016238633983</v>
      </c>
      <c r="R91" s="67">
        <f t="shared" si="41"/>
        <v>2.0777796716416521</v>
      </c>
      <c r="S91" s="67">
        <f t="shared" si="41"/>
        <v>2.2605239910641943</v>
      </c>
      <c r="T91" s="67">
        <f t="shared" si="41"/>
        <v>2.7068461171990124</v>
      </c>
      <c r="U91" s="67">
        <f t="shared" si="41"/>
        <v>4.8703804484998736</v>
      </c>
      <c r="V91" s="67">
        <f t="shared" si="41"/>
        <v>8.356563354737137</v>
      </c>
      <c r="W91" s="67">
        <f t="shared" si="41"/>
        <v>15.54177701455327</v>
      </c>
      <c r="X91" s="67">
        <f t="shared" si="41"/>
        <v>1.7817424357212488</v>
      </c>
      <c r="Y91" s="67">
        <f t="shared" si="41"/>
        <v>3.2827118481658877</v>
      </c>
      <c r="Z91" s="67">
        <f t="shared" si="41"/>
        <v>4.137181494509643</v>
      </c>
      <c r="AA91" s="67">
        <f t="shared" si="41"/>
        <v>4.0208375734530399E-2</v>
      </c>
      <c r="AB91" s="67">
        <f t="shared" si="41"/>
        <v>4.0295955521946876E-2</v>
      </c>
      <c r="AC91" s="67">
        <f t="shared" si="41"/>
        <v>4.0463192714297117E-2</v>
      </c>
      <c r="AD91" s="67">
        <f t="shared" si="41"/>
        <v>4.0229634801353727E-2</v>
      </c>
      <c r="AE91" s="67">
        <f t="shared" si="41"/>
        <v>3.9855153991528884E-2</v>
      </c>
      <c r="AF91" s="67">
        <f t="shared" si="41"/>
        <v>3.9189864105975719E-2</v>
      </c>
      <c r="AG91" s="11"/>
    </row>
    <row r="92" spans="1:33" s="12" customFormat="1" x14ac:dyDescent="0.2">
      <c r="A92" s="44" t="s">
        <v>183</v>
      </c>
      <c r="B92" s="226"/>
      <c r="C92" s="68">
        <f>((C76/2)^2+(C78/2)^2-(SQRT(C129*C129+C138*C138))^2)/(2*(C76/2)*(C78/2))</f>
        <v>-2.3813809680818202E-2</v>
      </c>
      <c r="D92" s="68">
        <f t="shared" ref="D92:AF92" si="42">((D76/2)^2+(D78/2)^2-(SQRT(D129*D129+D138*D138))^2)/(2*(D76/2)*(D78/2))</f>
        <v>-0.10151179205251896</v>
      </c>
      <c r="E92" s="68">
        <f t="shared" si="42"/>
        <v>-2.2191287120193762E-2</v>
      </c>
      <c r="F92" s="68">
        <f t="shared" si="42"/>
        <v>0.1051579816020534</v>
      </c>
      <c r="G92" s="68">
        <f t="shared" si="42"/>
        <v>-2.019810149260132E-2</v>
      </c>
      <c r="H92" s="68">
        <f t="shared" si="42"/>
        <v>1.9525147929011163E-2</v>
      </c>
      <c r="I92" s="68">
        <f t="shared" si="42"/>
        <v>-3.3876085122731624E-2</v>
      </c>
      <c r="J92" s="68">
        <f t="shared" si="42"/>
        <v>5.2093260741922089E-2</v>
      </c>
      <c r="K92" s="68">
        <f t="shared" si="42"/>
        <v>-0.61768882803287417</v>
      </c>
      <c r="L92" s="68">
        <f t="shared" si="42"/>
        <v>-0.51526187651794131</v>
      </c>
      <c r="M92" s="68">
        <f t="shared" si="42"/>
        <v>-0.49397733083745399</v>
      </c>
      <c r="N92" s="68">
        <f t="shared" si="42"/>
        <v>-0.53650650915567655</v>
      </c>
      <c r="O92" s="68">
        <f t="shared" si="42"/>
        <v>-0.60800112857976008</v>
      </c>
      <c r="P92" s="68">
        <f t="shared" si="42"/>
        <v>-0.4304222556019624</v>
      </c>
      <c r="Q92" s="68">
        <f t="shared" si="42"/>
        <v>-0.58544241349361015</v>
      </c>
      <c r="R92" s="68">
        <f t="shared" si="42"/>
        <v>-0.76250902504345242</v>
      </c>
      <c r="S92" s="68">
        <f t="shared" si="42"/>
        <v>-0.73152492429964433</v>
      </c>
      <c r="T92" s="68">
        <f t="shared" si="42"/>
        <v>-0.74806755358957433</v>
      </c>
      <c r="U92" s="68">
        <f t="shared" si="42"/>
        <v>-0.64734195781584758</v>
      </c>
      <c r="V92" s="68">
        <f t="shared" si="42"/>
        <v>-0.5243439814768911</v>
      </c>
      <c r="W92" s="68">
        <f t="shared" si="42"/>
        <v>-0.41101487568532452</v>
      </c>
      <c r="X92" s="68">
        <f t="shared" si="42"/>
        <v>-0.71526736805362179</v>
      </c>
      <c r="Y92" s="68">
        <f t="shared" si="42"/>
        <v>-0.7515809568576457</v>
      </c>
      <c r="Z92" s="68">
        <f t="shared" si="42"/>
        <v>-0.67238933046338434</v>
      </c>
      <c r="AA92" s="68">
        <f t="shared" si="42"/>
        <v>-0.68518179757285969</v>
      </c>
      <c r="AB92" s="68">
        <f t="shared" si="42"/>
        <v>-0.57690869509935694</v>
      </c>
      <c r="AC92" s="68">
        <f t="shared" si="42"/>
        <v>-0.72746772534586046</v>
      </c>
      <c r="AD92" s="68">
        <f t="shared" si="42"/>
        <v>-0.71984144575513265</v>
      </c>
      <c r="AE92" s="68">
        <f t="shared" si="42"/>
        <v>-0.64854482607415276</v>
      </c>
      <c r="AF92" s="68">
        <f t="shared" si="42"/>
        <v>-0.740240037216082</v>
      </c>
      <c r="AG92" s="13"/>
    </row>
    <row r="93" spans="1:33" x14ac:dyDescent="0.2">
      <c r="A93" s="44"/>
      <c r="B93" s="44"/>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15"/>
    </row>
    <row r="94" spans="1:33" s="3" customFormat="1" ht="18" x14ac:dyDescent="0.2">
      <c r="A94" s="1" t="s">
        <v>185</v>
      </c>
      <c r="B94" s="56"/>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2"/>
    </row>
    <row r="95" spans="1:33" s="22" customFormat="1" ht="18" x14ac:dyDescent="0.2">
      <c r="A95" s="8" t="s">
        <v>186</v>
      </c>
      <c r="B95" s="84"/>
      <c r="C95" s="75">
        <f>IF(C124&gt;0,C127/C124,0)</f>
        <v>3716.6964846167843</v>
      </c>
      <c r="D95" s="75">
        <f t="shared" ref="D95:AF95" si="43">IF(D124&gt;0,D127/D124,0)</f>
        <v>311.66962798940608</v>
      </c>
      <c r="E95" s="75">
        <f t="shared" si="43"/>
        <v>385.05140720296589</v>
      </c>
      <c r="F95" s="75">
        <f t="shared" si="43"/>
        <v>194.80636588725278</v>
      </c>
      <c r="G95" s="75">
        <f t="shared" si="43"/>
        <v>281.17743188574593</v>
      </c>
      <c r="H95" s="75">
        <f t="shared" si="43"/>
        <v>264.21838989052253</v>
      </c>
      <c r="I95" s="75">
        <f t="shared" si="43"/>
        <v>561.16558002345948</v>
      </c>
      <c r="J95" s="75">
        <f t="shared" si="43"/>
        <v>461.54996700287194</v>
      </c>
      <c r="K95" s="75">
        <f t="shared" si="43"/>
        <v>0</v>
      </c>
      <c r="L95" s="75">
        <f t="shared" si="43"/>
        <v>0</v>
      </c>
      <c r="M95" s="75">
        <f t="shared" si="43"/>
        <v>0</v>
      </c>
      <c r="N95" s="75">
        <f t="shared" si="43"/>
        <v>0</v>
      </c>
      <c r="O95" s="75">
        <f t="shared" si="43"/>
        <v>0</v>
      </c>
      <c r="P95" s="75">
        <f t="shared" si="43"/>
        <v>0</v>
      </c>
      <c r="Q95" s="75">
        <f t="shared" si="43"/>
        <v>0</v>
      </c>
      <c r="R95" s="75">
        <f t="shared" si="43"/>
        <v>0</v>
      </c>
      <c r="S95" s="75">
        <f t="shared" si="43"/>
        <v>2452742.3268279545</v>
      </c>
      <c r="T95" s="75">
        <f t="shared" si="43"/>
        <v>223931.62707565882</v>
      </c>
      <c r="U95" s="75">
        <f t="shared" si="43"/>
        <v>93126.505920566167</v>
      </c>
      <c r="V95" s="75">
        <f t="shared" si="43"/>
        <v>0</v>
      </c>
      <c r="W95" s="75">
        <f t="shared" si="43"/>
        <v>0</v>
      </c>
      <c r="X95" s="75">
        <f t="shared" si="43"/>
        <v>0</v>
      </c>
      <c r="Y95" s="75">
        <f t="shared" si="43"/>
        <v>251845.46025611984</v>
      </c>
      <c r="Z95" s="75">
        <f t="shared" si="43"/>
        <v>1266886.8533770251</v>
      </c>
      <c r="AA95" s="75">
        <f t="shared" si="43"/>
        <v>183580.00892280298</v>
      </c>
      <c r="AB95" s="75">
        <f t="shared" si="43"/>
        <v>273989.19618611259</v>
      </c>
      <c r="AC95" s="75">
        <f t="shared" si="43"/>
        <v>442097.24079065782</v>
      </c>
      <c r="AD95" s="75">
        <f t="shared" si="43"/>
        <v>86103.69198889425</v>
      </c>
      <c r="AE95" s="75">
        <f t="shared" si="43"/>
        <v>86971.071033668384</v>
      </c>
      <c r="AF95" s="75">
        <f t="shared" si="43"/>
        <v>52099.474368163093</v>
      </c>
      <c r="AG95" s="20"/>
    </row>
    <row r="96" spans="1:33" s="22" customFormat="1" ht="18" x14ac:dyDescent="0.2">
      <c r="A96" s="6" t="s">
        <v>386</v>
      </c>
      <c r="B96" s="23"/>
      <c r="C96" s="67">
        <f t="shared" ref="C96:AF96" si="44">IF(C95&gt;0,2*SQRT(C129*C129+C126*C126),0)</f>
        <v>4.6870902500016882</v>
      </c>
      <c r="D96" s="67">
        <f t="shared" si="44"/>
        <v>6.9250988533405584</v>
      </c>
      <c r="E96" s="67">
        <f t="shared" si="44"/>
        <v>4.2651715978474902</v>
      </c>
      <c r="F96" s="67">
        <f t="shared" si="44"/>
        <v>1.3035824967328102</v>
      </c>
      <c r="G96" s="67">
        <f t="shared" si="44"/>
        <v>1.4639692947332559</v>
      </c>
      <c r="H96" s="67">
        <f t="shared" si="44"/>
        <v>3.1210564677311798</v>
      </c>
      <c r="I96" s="67">
        <f t="shared" si="44"/>
        <v>3.878061079585235</v>
      </c>
      <c r="J96" s="67">
        <f t="shared" si="44"/>
        <v>3.9344718746403791</v>
      </c>
      <c r="K96" s="67">
        <f t="shared" si="44"/>
        <v>0</v>
      </c>
      <c r="L96" s="67">
        <f t="shared" si="44"/>
        <v>0</v>
      </c>
      <c r="M96" s="67">
        <f t="shared" si="44"/>
        <v>0</v>
      </c>
      <c r="N96" s="67">
        <f t="shared" si="44"/>
        <v>0</v>
      </c>
      <c r="O96" s="67">
        <f t="shared" si="44"/>
        <v>0</v>
      </c>
      <c r="P96" s="67">
        <f t="shared" si="44"/>
        <v>0</v>
      </c>
      <c r="Q96" s="67">
        <f t="shared" si="44"/>
        <v>0</v>
      </c>
      <c r="R96" s="67">
        <f t="shared" si="44"/>
        <v>0</v>
      </c>
      <c r="S96" s="67">
        <f t="shared" si="44"/>
        <v>2445.7727681072279</v>
      </c>
      <c r="T96" s="67">
        <f t="shared" si="44"/>
        <v>250.47950075821646</v>
      </c>
      <c r="U96" s="67">
        <f t="shared" si="44"/>
        <v>184.81370125778605</v>
      </c>
      <c r="V96" s="67">
        <f t="shared" si="44"/>
        <v>0</v>
      </c>
      <c r="W96" s="67">
        <f t="shared" si="44"/>
        <v>0</v>
      </c>
      <c r="X96" s="67">
        <f t="shared" si="44"/>
        <v>0</v>
      </c>
      <c r="Y96" s="67">
        <f t="shared" si="44"/>
        <v>402.59017548167259</v>
      </c>
      <c r="Z96" s="67">
        <f t="shared" si="44"/>
        <v>2277.4847874217535</v>
      </c>
      <c r="AA96" s="67">
        <f t="shared" si="44"/>
        <v>27.889116195557445</v>
      </c>
      <c r="AB96" s="67">
        <f t="shared" si="44"/>
        <v>33.913559869600796</v>
      </c>
      <c r="AC96" s="67">
        <f t="shared" si="44"/>
        <v>117.07005350704775</v>
      </c>
      <c r="AD96" s="67">
        <f t="shared" si="44"/>
        <v>9.3096057304141393</v>
      </c>
      <c r="AE96" s="67">
        <f t="shared" si="44"/>
        <v>10.427869639365785</v>
      </c>
      <c r="AF96" s="67">
        <f t="shared" si="44"/>
        <v>6.1475138036212797</v>
      </c>
      <c r="AG96" s="11"/>
    </row>
    <row r="97" spans="1:33" s="22" customFormat="1" ht="18" x14ac:dyDescent="0.2">
      <c r="A97" s="8" t="s">
        <v>187</v>
      </c>
      <c r="B97" s="84"/>
      <c r="C97" s="75">
        <f>IF(C124&gt;0,C118/C124,0)</f>
        <v>66.397593223117127</v>
      </c>
      <c r="D97" s="75">
        <f t="shared" ref="D97:AF97" si="45">IF(D124&gt;0,D118/D124,0)</f>
        <v>22.910961452318542</v>
      </c>
      <c r="E97" s="75">
        <f t="shared" si="45"/>
        <v>23.950534655675966</v>
      </c>
      <c r="F97" s="75">
        <f t="shared" si="45"/>
        <v>20.918875718274968</v>
      </c>
      <c r="G97" s="75">
        <f t="shared" si="45"/>
        <v>22.622316447147295</v>
      </c>
      <c r="H97" s="75">
        <f t="shared" si="45"/>
        <v>22.492639798847318</v>
      </c>
      <c r="I97" s="75">
        <f t="shared" si="45"/>
        <v>26.162266353385039</v>
      </c>
      <c r="J97" s="75">
        <f t="shared" si="45"/>
        <v>25.008372592195848</v>
      </c>
      <c r="K97" s="75">
        <f t="shared" si="45"/>
        <v>0</v>
      </c>
      <c r="L97" s="75">
        <f t="shared" si="45"/>
        <v>0</v>
      </c>
      <c r="M97" s="75">
        <f t="shared" si="45"/>
        <v>0</v>
      </c>
      <c r="N97" s="75">
        <f t="shared" si="45"/>
        <v>0</v>
      </c>
      <c r="O97" s="75">
        <f t="shared" si="45"/>
        <v>0</v>
      </c>
      <c r="P97" s="75">
        <f t="shared" si="45"/>
        <v>0</v>
      </c>
      <c r="Q97" s="75">
        <f t="shared" si="45"/>
        <v>0</v>
      </c>
      <c r="R97" s="75">
        <f t="shared" si="45"/>
        <v>0</v>
      </c>
      <c r="S97" s="75">
        <f t="shared" si="45"/>
        <v>10851.273550055743</v>
      </c>
      <c r="T97" s="75">
        <f t="shared" si="45"/>
        <v>1002.519989119458</v>
      </c>
      <c r="U97" s="75">
        <f t="shared" si="45"/>
        <v>427.70475626847633</v>
      </c>
      <c r="V97" s="75">
        <f t="shared" si="45"/>
        <v>0</v>
      </c>
      <c r="W97" s="75">
        <f t="shared" si="45"/>
        <v>0</v>
      </c>
      <c r="X97" s="75">
        <f t="shared" si="45"/>
        <v>0</v>
      </c>
      <c r="Y97" s="75">
        <f t="shared" si="45"/>
        <v>1128.6953008596008</v>
      </c>
      <c r="Z97" s="75">
        <f t="shared" si="45"/>
        <v>5588.7572958605606</v>
      </c>
      <c r="AA97" s="75">
        <f t="shared" si="45"/>
        <v>90051.160736499529</v>
      </c>
      <c r="AB97" s="75">
        <f t="shared" si="45"/>
        <v>134745.19874500504</v>
      </c>
      <c r="AC97" s="75">
        <f t="shared" si="45"/>
        <v>217301.71704926595</v>
      </c>
      <c r="AD97" s="75">
        <f t="shared" si="45"/>
        <v>42355.352673528658</v>
      </c>
      <c r="AE97" s="75">
        <f t="shared" si="45"/>
        <v>42689.530760113863</v>
      </c>
      <c r="AF97" s="75">
        <f t="shared" si="45"/>
        <v>25632.512230465371</v>
      </c>
      <c r="AG97" s="20"/>
    </row>
    <row r="98" spans="1:33" s="22" customFormat="1" ht="18" x14ac:dyDescent="0.2">
      <c r="A98" s="6" t="s">
        <v>386</v>
      </c>
      <c r="B98" s="23"/>
      <c r="C98" s="67">
        <f t="shared" ref="C98:AF98" si="46">IF(C97&gt;0,(2*100*SQRT(C417+C418-(2*C415)/C416)),0)</f>
        <v>3.417892322803572</v>
      </c>
      <c r="D98" s="67">
        <f t="shared" si="46"/>
        <v>1.572701577917508</v>
      </c>
      <c r="E98" s="67">
        <f t="shared" si="46"/>
        <v>1.0867490963235165</v>
      </c>
      <c r="F98" s="67">
        <f t="shared" si="46"/>
        <v>0.24000829105116839</v>
      </c>
      <c r="G98" s="67">
        <f t="shared" si="46"/>
        <v>0.36661519295843903</v>
      </c>
      <c r="H98" s="67">
        <f t="shared" si="46"/>
        <v>0.65382806480315836</v>
      </c>
      <c r="I98" s="67">
        <f t="shared" si="46"/>
        <v>1.2364040787685173</v>
      </c>
      <c r="J98" s="67">
        <f t="shared" si="46"/>
        <v>1.1127033860702198</v>
      </c>
      <c r="K98" s="67">
        <f t="shared" si="46"/>
        <v>0</v>
      </c>
      <c r="L98" s="67">
        <f t="shared" si="46"/>
        <v>0</v>
      </c>
      <c r="M98" s="67">
        <f t="shared" si="46"/>
        <v>0</v>
      </c>
      <c r="N98" s="67">
        <f t="shared" si="46"/>
        <v>0</v>
      </c>
      <c r="O98" s="67">
        <f t="shared" si="46"/>
        <v>0</v>
      </c>
      <c r="P98" s="67">
        <f t="shared" si="46"/>
        <v>0</v>
      </c>
      <c r="Q98" s="67">
        <f t="shared" si="46"/>
        <v>0</v>
      </c>
      <c r="R98" s="67">
        <f t="shared" si="46"/>
        <v>0</v>
      </c>
      <c r="S98" s="67">
        <f t="shared" si="46"/>
        <v>2441.7098167831828</v>
      </c>
      <c r="T98" s="67">
        <f t="shared" si="46"/>
        <v>245.9760868202205</v>
      </c>
      <c r="U98" s="67">
        <f t="shared" si="46"/>
        <v>177.02379239194406</v>
      </c>
      <c r="V98" s="67">
        <f t="shared" si="46"/>
        <v>0</v>
      </c>
      <c r="W98" s="67">
        <f t="shared" si="46"/>
        <v>0</v>
      </c>
      <c r="X98" s="67">
        <f t="shared" si="46"/>
        <v>0</v>
      </c>
      <c r="Y98" s="67">
        <f t="shared" si="46"/>
        <v>396.15970732780141</v>
      </c>
      <c r="Z98" s="67">
        <f t="shared" si="46"/>
        <v>2270.137797732802</v>
      </c>
      <c r="AA98" s="67">
        <f t="shared" si="46"/>
        <v>27.883624772161912</v>
      </c>
      <c r="AB98" s="67">
        <f t="shared" si="46"/>
        <v>33.90903262633671</v>
      </c>
      <c r="AC98" s="67">
        <f t="shared" si="46"/>
        <v>117.06041509941427</v>
      </c>
      <c r="AD98" s="67">
        <f t="shared" si="46"/>
        <v>9.3058761498711569</v>
      </c>
      <c r="AE98" s="67">
        <f t="shared" si="46"/>
        <v>10.423609959198068</v>
      </c>
      <c r="AF98" s="67">
        <f t="shared" si="46"/>
        <v>6.1435195168483059</v>
      </c>
      <c r="AG98" s="11"/>
    </row>
    <row r="99" spans="1:33" s="22" customFormat="1" ht="18" x14ac:dyDescent="0.2">
      <c r="A99" s="6" t="s">
        <v>188</v>
      </c>
      <c r="B99" s="23"/>
      <c r="C99" s="67">
        <f t="shared" ref="C99:AF99" si="47">IF(C97&gt;0,((C96/2)^2+(C98/2)^2-(C108/2)^2)/(2*(C96/2)*(C98/2)),0)</f>
        <v>0.99956207820416643</v>
      </c>
      <c r="D99" s="67">
        <f t="shared" si="47"/>
        <v>0.95672855149107894</v>
      </c>
      <c r="E99" s="67">
        <f t="shared" si="47"/>
        <v>0.97828574116826372</v>
      </c>
      <c r="F99" s="67">
        <f t="shared" si="47"/>
        <v>0.79341721251481856</v>
      </c>
      <c r="G99" s="67">
        <f t="shared" si="47"/>
        <v>0.86414800674956704</v>
      </c>
      <c r="H99" s="67">
        <f t="shared" si="47"/>
        <v>0.94600095897748304</v>
      </c>
      <c r="I99" s="67">
        <f t="shared" si="47"/>
        <v>0.98442809263123787</v>
      </c>
      <c r="J99" s="67">
        <f t="shared" si="47"/>
        <v>0.98496989187693351</v>
      </c>
      <c r="K99" s="67">
        <f t="shared" si="47"/>
        <v>0</v>
      </c>
      <c r="L99" s="67">
        <f t="shared" si="47"/>
        <v>0</v>
      </c>
      <c r="M99" s="67">
        <f t="shared" si="47"/>
        <v>0</v>
      </c>
      <c r="N99" s="67">
        <f t="shared" si="47"/>
        <v>0</v>
      </c>
      <c r="O99" s="67">
        <f t="shared" si="47"/>
        <v>0</v>
      </c>
      <c r="P99" s="67">
        <f t="shared" si="47"/>
        <v>0</v>
      </c>
      <c r="Q99" s="67">
        <f t="shared" si="47"/>
        <v>0</v>
      </c>
      <c r="R99" s="67">
        <f t="shared" si="47"/>
        <v>0</v>
      </c>
      <c r="S99" s="67">
        <f t="shared" si="47"/>
        <v>0.9999999983770449</v>
      </c>
      <c r="T99" s="67">
        <f t="shared" si="47"/>
        <v>0.99999980866691052</v>
      </c>
      <c r="U99" s="67">
        <f t="shared" si="47"/>
        <v>0.999999149666432</v>
      </c>
      <c r="V99" s="67">
        <f t="shared" si="47"/>
        <v>0</v>
      </c>
      <c r="W99" s="67">
        <f t="shared" si="47"/>
        <v>0</v>
      </c>
      <c r="X99" s="67">
        <f t="shared" si="47"/>
        <v>0</v>
      </c>
      <c r="Y99" s="67">
        <f t="shared" si="47"/>
        <v>0.99999988140272922</v>
      </c>
      <c r="Z99" s="67">
        <f t="shared" si="47"/>
        <v>0.99999999547718255</v>
      </c>
      <c r="AA99" s="67">
        <f t="shared" si="47"/>
        <v>0.99999782558597194</v>
      </c>
      <c r="AB99" s="67">
        <f t="shared" si="47"/>
        <v>0.99999794679127119</v>
      </c>
      <c r="AC99" s="67">
        <f t="shared" si="47"/>
        <v>0.99999989219827468</v>
      </c>
      <c r="AD99" s="67">
        <f t="shared" si="47"/>
        <v>0.99998223637008798</v>
      </c>
      <c r="AE99" s="67">
        <f t="shared" si="47"/>
        <v>0.99998209869204657</v>
      </c>
      <c r="AF99" s="67">
        <f t="shared" si="47"/>
        <v>0.99995799573089916</v>
      </c>
      <c r="AG99" s="11"/>
    </row>
    <row r="100" spans="1:33" s="22" customFormat="1" ht="18" x14ac:dyDescent="0.2">
      <c r="A100" s="6"/>
      <c r="B100" s="56"/>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row>
    <row r="101" spans="1:33" s="10" customFormat="1" x14ac:dyDescent="0.2">
      <c r="A101" s="8" t="s">
        <v>189</v>
      </c>
      <c r="B101" s="84"/>
      <c r="C101" s="75">
        <f>IF(C124&gt;0,C130/C124,0)</f>
        <v>26.956023242071254</v>
      </c>
      <c r="D101" s="75">
        <f t="shared" ref="D101:AF101" si="48">IF(D124&gt;0,D130/D124,0)</f>
        <v>2.2604411661546715</v>
      </c>
      <c r="E101" s="75">
        <f t="shared" si="48"/>
        <v>2.7926559849359296</v>
      </c>
      <c r="F101" s="75">
        <f t="shared" si="48"/>
        <v>1.4128689141808297</v>
      </c>
      <c r="G101" s="75">
        <f t="shared" si="48"/>
        <v>2.0392909188116182</v>
      </c>
      <c r="H101" s="75">
        <f t="shared" si="48"/>
        <v>1.916292354877593</v>
      </c>
      <c r="I101" s="75">
        <f t="shared" si="48"/>
        <v>4.0699563390155173</v>
      </c>
      <c r="J101" s="75">
        <f t="shared" si="48"/>
        <v>3.3474758268267477</v>
      </c>
      <c r="K101" s="75">
        <f t="shared" si="48"/>
        <v>0</v>
      </c>
      <c r="L101" s="75">
        <f t="shared" si="48"/>
        <v>0</v>
      </c>
      <c r="M101" s="75">
        <f t="shared" si="48"/>
        <v>0</v>
      </c>
      <c r="N101" s="75">
        <f t="shared" si="48"/>
        <v>0</v>
      </c>
      <c r="O101" s="75">
        <f t="shared" si="48"/>
        <v>0</v>
      </c>
      <c r="P101" s="75">
        <f t="shared" si="48"/>
        <v>0</v>
      </c>
      <c r="Q101" s="75">
        <f t="shared" si="48"/>
        <v>0</v>
      </c>
      <c r="R101" s="75">
        <f t="shared" si="48"/>
        <v>0</v>
      </c>
      <c r="S101" s="75">
        <f t="shared" si="48"/>
        <v>17788.96378610353</v>
      </c>
      <c r="T101" s="75">
        <f t="shared" si="48"/>
        <v>1624.1052152281609</v>
      </c>
      <c r="U101" s="75">
        <f t="shared" si="48"/>
        <v>675.41707224083382</v>
      </c>
      <c r="V101" s="75">
        <f t="shared" si="48"/>
        <v>0</v>
      </c>
      <c r="W101" s="75">
        <f t="shared" si="48"/>
        <v>0</v>
      </c>
      <c r="X101" s="75">
        <f t="shared" si="48"/>
        <v>0</v>
      </c>
      <c r="Y101" s="75">
        <f t="shared" si="48"/>
        <v>1826.555412359442</v>
      </c>
      <c r="Z101" s="75">
        <f t="shared" si="48"/>
        <v>9188.329368849907</v>
      </c>
      <c r="AA101" s="75">
        <f t="shared" si="48"/>
        <v>1331.4477003394472</v>
      </c>
      <c r="AB101" s="75">
        <f t="shared" si="48"/>
        <v>1987.156920409868</v>
      </c>
      <c r="AC101" s="75">
        <f t="shared" si="48"/>
        <v>3206.3913605356674</v>
      </c>
      <c r="AD101" s="75">
        <f t="shared" si="48"/>
        <v>624.48282556494235</v>
      </c>
      <c r="AE101" s="75">
        <f t="shared" si="48"/>
        <v>630.7736512450565</v>
      </c>
      <c r="AF101" s="75">
        <f t="shared" si="48"/>
        <v>377.86099773834565</v>
      </c>
      <c r="AG101" s="20"/>
    </row>
    <row r="102" spans="1:33" s="12" customFormat="1" x14ac:dyDescent="0.2">
      <c r="A102" s="44" t="s">
        <v>386</v>
      </c>
      <c r="B102" s="210"/>
      <c r="C102" s="67">
        <f>2*SQRT(C132*C132+C126*C126)</f>
        <v>4.6870902500016882</v>
      </c>
      <c r="D102" s="67">
        <f t="shared" ref="D102:AF102" si="49">2*SQRT(D132*D132+D126*D126)</f>
        <v>6.9250988533405584</v>
      </c>
      <c r="E102" s="67">
        <f t="shared" si="49"/>
        <v>4.2651715978474902</v>
      </c>
      <c r="F102" s="67">
        <f t="shared" si="49"/>
        <v>1.3035824967328102</v>
      </c>
      <c r="G102" s="67">
        <f t="shared" si="49"/>
        <v>1.4639692947332559</v>
      </c>
      <c r="H102" s="67">
        <f t="shared" si="49"/>
        <v>3.1210564677311798</v>
      </c>
      <c r="I102" s="67">
        <f t="shared" si="49"/>
        <v>3.878061079585235</v>
      </c>
      <c r="J102" s="67">
        <f t="shared" si="49"/>
        <v>3.9344718746403791</v>
      </c>
      <c r="K102" s="67">
        <f t="shared" si="49"/>
        <v>1.9231108448656109E-2</v>
      </c>
      <c r="L102" s="67">
        <f t="shared" si="49"/>
        <v>1.8034563997964288E-2</v>
      </c>
      <c r="M102" s="67">
        <f t="shared" si="49"/>
        <v>1.7344083394717481E-2</v>
      </c>
      <c r="N102" s="67">
        <f t="shared" si="49"/>
        <v>1.8408585817567175E-2</v>
      </c>
      <c r="O102" s="67">
        <f t="shared" si="49"/>
        <v>1.9653194265042251E-2</v>
      </c>
      <c r="P102" s="67">
        <f t="shared" si="49"/>
        <v>4.7836081270333591E-2</v>
      </c>
      <c r="Q102" s="67">
        <f t="shared" si="49"/>
        <v>2.6867487922486527E-2</v>
      </c>
      <c r="R102" s="67">
        <f t="shared" si="49"/>
        <v>2.3896288642217798E-2</v>
      </c>
      <c r="S102" s="67">
        <f t="shared" si="49"/>
        <v>2445.7727681072279</v>
      </c>
      <c r="T102" s="67">
        <f t="shared" si="49"/>
        <v>250.47950075821646</v>
      </c>
      <c r="U102" s="67">
        <f t="shared" si="49"/>
        <v>184.81370125778605</v>
      </c>
      <c r="V102" s="67">
        <f t="shared" si="49"/>
        <v>4.7191164322617052E-2</v>
      </c>
      <c r="W102" s="67">
        <f t="shared" si="49"/>
        <v>5.0852621357530374E-2</v>
      </c>
      <c r="X102" s="67">
        <f t="shared" si="49"/>
        <v>2.1685978865990146E-2</v>
      </c>
      <c r="Y102" s="67">
        <f t="shared" si="49"/>
        <v>402.59017548167259</v>
      </c>
      <c r="Z102" s="67">
        <f t="shared" si="49"/>
        <v>2277.4847874217535</v>
      </c>
      <c r="AA102" s="67">
        <f t="shared" si="49"/>
        <v>27.889116195557445</v>
      </c>
      <c r="AB102" s="67">
        <f t="shared" si="49"/>
        <v>33.913559869600796</v>
      </c>
      <c r="AC102" s="67">
        <f t="shared" si="49"/>
        <v>117.07005350704775</v>
      </c>
      <c r="AD102" s="67">
        <f t="shared" si="49"/>
        <v>9.3096057304141393</v>
      </c>
      <c r="AE102" s="67">
        <f t="shared" si="49"/>
        <v>10.427869639365785</v>
      </c>
      <c r="AF102" s="67">
        <f t="shared" si="49"/>
        <v>6.1475138036212797</v>
      </c>
      <c r="AG102" s="11"/>
    </row>
    <row r="103" spans="1:33" s="22" customFormat="1" ht="18" x14ac:dyDescent="0.2">
      <c r="A103" s="209" t="s">
        <v>190</v>
      </c>
      <c r="B103" s="200"/>
      <c r="C103" s="75">
        <f>IF(C124&gt;0,C121/C124,0)</f>
        <v>17.934296020258255</v>
      </c>
      <c r="D103" s="75">
        <f t="shared" ref="D103:AF103" si="50">IF(D124&gt;0,D121/D124,0)</f>
        <v>15.700085417955005</v>
      </c>
      <c r="E103" s="75">
        <f t="shared" si="50"/>
        <v>15.8540980755229</v>
      </c>
      <c r="F103" s="75">
        <f t="shared" si="50"/>
        <v>15.73806994343966</v>
      </c>
      <c r="G103" s="75">
        <f t="shared" si="50"/>
        <v>15.746644728353573</v>
      </c>
      <c r="H103" s="75">
        <f t="shared" si="50"/>
        <v>15.811522583143663</v>
      </c>
      <c r="I103" s="75">
        <f t="shared" si="50"/>
        <v>15.96584559433577</v>
      </c>
      <c r="J103" s="75">
        <f t="shared" si="50"/>
        <v>15.976848409542587</v>
      </c>
      <c r="K103" s="75">
        <f t="shared" si="50"/>
        <v>0</v>
      </c>
      <c r="L103" s="75">
        <f t="shared" si="50"/>
        <v>0</v>
      </c>
      <c r="M103" s="75">
        <f t="shared" si="50"/>
        <v>0</v>
      </c>
      <c r="N103" s="75">
        <f t="shared" si="50"/>
        <v>0</v>
      </c>
      <c r="O103" s="75">
        <f t="shared" si="50"/>
        <v>0</v>
      </c>
      <c r="P103" s="75">
        <f t="shared" si="50"/>
        <v>0</v>
      </c>
      <c r="Q103" s="75">
        <f t="shared" si="50"/>
        <v>0</v>
      </c>
      <c r="R103" s="75">
        <f t="shared" si="50"/>
        <v>0</v>
      </c>
      <c r="S103" s="75">
        <f t="shared" si="50"/>
        <v>511.53211394129278</v>
      </c>
      <c r="T103" s="75">
        <f t="shared" si="50"/>
        <v>61.033649435065769</v>
      </c>
      <c r="U103" s="75">
        <f t="shared" si="50"/>
        <v>34.634067334416578</v>
      </c>
      <c r="V103" s="75">
        <f t="shared" si="50"/>
        <v>0</v>
      </c>
      <c r="W103" s="75">
        <f t="shared" si="50"/>
        <v>0</v>
      </c>
      <c r="X103" s="75">
        <f t="shared" si="50"/>
        <v>0</v>
      </c>
      <c r="Y103" s="75">
        <f t="shared" si="50"/>
        <v>67.698705807278145</v>
      </c>
      <c r="Z103" s="75">
        <f t="shared" si="50"/>
        <v>272.06624121876575</v>
      </c>
      <c r="AA103" s="75">
        <f t="shared" si="50"/>
        <v>15544.964184078231</v>
      </c>
      <c r="AB103" s="75">
        <f t="shared" si="50"/>
        <v>23274.802642685343</v>
      </c>
      <c r="AC103" s="75">
        <f t="shared" si="50"/>
        <v>37529.448312505869</v>
      </c>
      <c r="AD103" s="75">
        <f t="shared" si="50"/>
        <v>7326.5491694375751</v>
      </c>
      <c r="AE103" s="75">
        <f t="shared" si="50"/>
        <v>7375.0922023720577</v>
      </c>
      <c r="AF103" s="75">
        <f t="shared" si="50"/>
        <v>4438.6440373588412</v>
      </c>
      <c r="AG103" s="20"/>
    </row>
    <row r="104" spans="1:33" s="22" customFormat="1" ht="18" x14ac:dyDescent="0.2">
      <c r="A104" s="6" t="s">
        <v>386</v>
      </c>
      <c r="B104" s="23"/>
      <c r="C104" s="67">
        <f t="shared" ref="C104:AF104" si="51">IF(C103&gt;0,2*100*SQRT(C430+C431-(2*C428)/C429),0)</f>
        <v>0.68628994953862321</v>
      </c>
      <c r="D104" s="67">
        <f t="shared" si="51"/>
        <v>0.60141505214790081</v>
      </c>
      <c r="E104" s="67">
        <f t="shared" si="51"/>
        <v>0.33748582721793757</v>
      </c>
      <c r="F104" s="67">
        <f t="shared" si="51"/>
        <v>0.21682040726050186</v>
      </c>
      <c r="G104" s="67">
        <f t="shared" si="51"/>
        <v>0.26254892406838243</v>
      </c>
      <c r="H104" s="67">
        <f t="shared" si="51"/>
        <v>0.2866696608512192</v>
      </c>
      <c r="I104" s="67">
        <f t="shared" si="51"/>
        <v>0.35118412894589612</v>
      </c>
      <c r="J104" s="67">
        <f t="shared" si="51"/>
        <v>0.28799140649975991</v>
      </c>
      <c r="K104" s="67">
        <f t="shared" si="51"/>
        <v>0</v>
      </c>
      <c r="L104" s="67">
        <f t="shared" si="51"/>
        <v>0</v>
      </c>
      <c r="M104" s="67">
        <f t="shared" si="51"/>
        <v>0</v>
      </c>
      <c r="N104" s="67">
        <f t="shared" si="51"/>
        <v>0</v>
      </c>
      <c r="O104" s="67">
        <f t="shared" si="51"/>
        <v>0</v>
      </c>
      <c r="P104" s="67">
        <f t="shared" si="51"/>
        <v>0</v>
      </c>
      <c r="Q104" s="67">
        <f t="shared" si="51"/>
        <v>0</v>
      </c>
      <c r="R104" s="67">
        <f t="shared" si="51"/>
        <v>0</v>
      </c>
      <c r="S104" s="67">
        <f t="shared" si="51"/>
        <v>2371.5536057946742</v>
      </c>
      <c r="T104" s="67">
        <f t="shared" si="51"/>
        <v>186.7899393190265</v>
      </c>
      <c r="U104" s="67">
        <f t="shared" si="51"/>
        <v>101.99907113284743</v>
      </c>
      <c r="V104" s="67">
        <f t="shared" si="51"/>
        <v>0</v>
      </c>
      <c r="W104" s="67">
        <f t="shared" si="51"/>
        <v>0</v>
      </c>
      <c r="X104" s="67">
        <f t="shared" si="51"/>
        <v>0</v>
      </c>
      <c r="Y104" s="67">
        <f t="shared" si="51"/>
        <v>310.2769477044659</v>
      </c>
      <c r="Z104" s="67">
        <f t="shared" si="51"/>
        <v>2147.5233750001607</v>
      </c>
      <c r="AA104" s="67">
        <f t="shared" si="51"/>
        <v>27.861585023114294</v>
      </c>
      <c r="AB104" s="67">
        <f t="shared" si="51"/>
        <v>33.891164491112782</v>
      </c>
      <c r="AC104" s="67">
        <f t="shared" si="51"/>
        <v>117.02181976915995</v>
      </c>
      <c r="AD104" s="67">
        <f t="shared" si="51"/>
        <v>9.2906386955520901</v>
      </c>
      <c r="AE104" s="67">
        <f t="shared" si="51"/>
        <v>10.406543063684037</v>
      </c>
      <c r="AF104" s="67">
        <f t="shared" si="51"/>
        <v>6.1271409765158449</v>
      </c>
      <c r="AG104" s="11"/>
    </row>
    <row r="105" spans="1:33" s="22" customFormat="1" ht="18" x14ac:dyDescent="0.2">
      <c r="A105" s="6" t="s">
        <v>191</v>
      </c>
      <c r="B105" s="23"/>
      <c r="C105" s="67">
        <f t="shared" ref="C105:AF105" si="52">IF(C103&gt;0,((C102/2)^2+(C104/2)^2-(SQRT(C132*C132+C123*C123))^2)/(2*(C102/2)*(C104/2)),0)</f>
        <v>0.92645398637894893</v>
      </c>
      <c r="D105" s="67">
        <f t="shared" si="52"/>
        <v>0.19586361789008391</v>
      </c>
      <c r="E105" s="67">
        <f t="shared" si="52"/>
        <v>0.30404648547617269</v>
      </c>
      <c r="F105" s="67">
        <f t="shared" si="52"/>
        <v>0.1539334008615314</v>
      </c>
      <c r="G105" s="67">
        <f t="shared" si="52"/>
        <v>0.18932979332404937</v>
      </c>
      <c r="H105" s="67">
        <f t="shared" si="52"/>
        <v>0.24130885421574649</v>
      </c>
      <c r="I105" s="67">
        <f t="shared" si="52"/>
        <v>0.35694636261070195</v>
      </c>
      <c r="J105" s="67">
        <f t="shared" si="52"/>
        <v>0.41134546720765497</v>
      </c>
      <c r="K105" s="67">
        <f t="shared" si="52"/>
        <v>0</v>
      </c>
      <c r="L105" s="67">
        <f t="shared" si="52"/>
        <v>0</v>
      </c>
      <c r="M105" s="67">
        <f t="shared" si="52"/>
        <v>0</v>
      </c>
      <c r="N105" s="67">
        <f t="shared" si="52"/>
        <v>0</v>
      </c>
      <c r="O105" s="67">
        <f t="shared" si="52"/>
        <v>0</v>
      </c>
      <c r="P105" s="67">
        <f t="shared" si="52"/>
        <v>0</v>
      </c>
      <c r="Q105" s="67">
        <f t="shared" si="52"/>
        <v>0</v>
      </c>
      <c r="R105" s="67">
        <f t="shared" si="52"/>
        <v>0</v>
      </c>
      <c r="S105" s="67">
        <f t="shared" si="52"/>
        <v>0.99999952529085212</v>
      </c>
      <c r="T105" s="67">
        <f t="shared" si="52"/>
        <v>0.99993945748952628</v>
      </c>
      <c r="U105" s="67">
        <f t="shared" si="52"/>
        <v>0.99972033718557807</v>
      </c>
      <c r="V105" s="67">
        <f t="shared" si="52"/>
        <v>0</v>
      </c>
      <c r="W105" s="67">
        <f t="shared" si="52"/>
        <v>0</v>
      </c>
      <c r="X105" s="67">
        <f t="shared" si="52"/>
        <v>0</v>
      </c>
      <c r="Y105" s="67">
        <f t="shared" si="52"/>
        <v>0.99996379485909248</v>
      </c>
      <c r="Z105" s="67">
        <f t="shared" si="52"/>
        <v>0.99999853877817058</v>
      </c>
      <c r="AA105" s="67">
        <f t="shared" si="52"/>
        <v>0.9999946196935614</v>
      </c>
      <c r="AB105" s="67">
        <f t="shared" si="52"/>
        <v>0.99999574299386385</v>
      </c>
      <c r="AC105" s="67">
        <f t="shared" si="52"/>
        <v>0.99999971550098299</v>
      </c>
      <c r="AD105" s="67">
        <f t="shared" si="52"/>
        <v>0.99995438948863535</v>
      </c>
      <c r="AE105" s="67">
        <f t="shared" si="52"/>
        <v>0.99995856409526307</v>
      </c>
      <c r="AF105" s="67">
        <f t="shared" si="52"/>
        <v>0.99989377512550537</v>
      </c>
      <c r="AG105" s="11"/>
    </row>
    <row r="106" spans="1:33" s="22" customFormat="1" ht="18" x14ac:dyDescent="0.2">
      <c r="A106" s="6"/>
      <c r="B106" s="56"/>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row>
    <row r="107" spans="1:33" s="10" customFormat="1" x14ac:dyDescent="0.2">
      <c r="A107" s="8" t="s">
        <v>181</v>
      </c>
      <c r="B107" s="228"/>
      <c r="C107" s="69">
        <f>C127/C118</f>
        <v>55.976373603294576</v>
      </c>
      <c r="D107" s="69">
        <f t="shared" ref="D107:AF107" si="53">D127/D118</f>
        <v>13.603515882039325</v>
      </c>
      <c r="E107" s="69">
        <f t="shared" si="53"/>
        <v>16.076944115805521</v>
      </c>
      <c r="F107" s="69">
        <f t="shared" si="53"/>
        <v>9.3124682468985522</v>
      </c>
      <c r="G107" s="69">
        <f t="shared" si="53"/>
        <v>12.429206025062159</v>
      </c>
      <c r="H107" s="69">
        <f t="shared" si="53"/>
        <v>11.746882191394135</v>
      </c>
      <c r="I107" s="69">
        <f t="shared" si="53"/>
        <v>21.449425384007391</v>
      </c>
      <c r="J107" s="69">
        <f t="shared" si="53"/>
        <v>18.455817758685502</v>
      </c>
      <c r="K107" s="69">
        <f t="shared" si="53"/>
        <v>144.33861523777801</v>
      </c>
      <c r="L107" s="69">
        <f t="shared" si="53"/>
        <v>144.36459835413942</v>
      </c>
      <c r="M107" s="69">
        <f t="shared" si="53"/>
        <v>144.37370703703201</v>
      </c>
      <c r="N107" s="69">
        <f t="shared" si="53"/>
        <v>144.37513630760046</v>
      </c>
      <c r="O107" s="69">
        <f t="shared" si="53"/>
        <v>144.44292695306683</v>
      </c>
      <c r="P107" s="69">
        <f t="shared" si="53"/>
        <v>144.41175376775448</v>
      </c>
      <c r="Q107" s="69">
        <f t="shared" si="53"/>
        <v>144.61281720430446</v>
      </c>
      <c r="R107" s="69">
        <f t="shared" si="53"/>
        <v>226.40588339890996</v>
      </c>
      <c r="S107" s="69">
        <f t="shared" si="53"/>
        <v>226.03266939255761</v>
      </c>
      <c r="T107" s="69">
        <f t="shared" si="53"/>
        <v>223.36874028052483</v>
      </c>
      <c r="U107" s="69">
        <f t="shared" si="53"/>
        <v>217.73549289713611</v>
      </c>
      <c r="V107" s="69">
        <f t="shared" si="53"/>
        <v>228.44442729755443</v>
      </c>
      <c r="W107" s="69">
        <f t="shared" si="53"/>
        <v>228.44962618611558</v>
      </c>
      <c r="X107" s="69">
        <f t="shared" si="53"/>
        <v>225.74752804216286</v>
      </c>
      <c r="Y107" s="69">
        <f t="shared" si="53"/>
        <v>223.12971451579304</v>
      </c>
      <c r="Z107" s="69">
        <f t="shared" si="53"/>
        <v>226.68489367312006</v>
      </c>
      <c r="AA107" s="69">
        <f t="shared" si="53"/>
        <v>2.0386190185818931</v>
      </c>
      <c r="AB107" s="69">
        <f t="shared" si="53"/>
        <v>2.0333874508183118</v>
      </c>
      <c r="AC107" s="69">
        <f t="shared" si="53"/>
        <v>2.034485722404241</v>
      </c>
      <c r="AD107" s="69">
        <f t="shared" si="53"/>
        <v>2.0328880897905384</v>
      </c>
      <c r="AE107" s="69">
        <f t="shared" si="53"/>
        <v>2.0372927386432678</v>
      </c>
      <c r="AF107" s="69">
        <f t="shared" si="53"/>
        <v>2.0325543551771168</v>
      </c>
      <c r="AG107" s="14"/>
    </row>
    <row r="108" spans="1:33" s="12" customFormat="1" x14ac:dyDescent="0.2">
      <c r="A108" s="44" t="s">
        <v>386</v>
      </c>
      <c r="B108" s="210"/>
      <c r="C108" s="67">
        <f>2*SQRT(C129*C129+C120*C120)</f>
        <v>1.2747134447694701</v>
      </c>
      <c r="D108" s="67">
        <f t="shared" ref="D108:AF108" si="54">2*SQRT(D129*D129+D120*D120)</f>
        <v>5.4397339219932475</v>
      </c>
      <c r="E108" s="67">
        <f t="shared" si="54"/>
        <v>3.2099327438946754</v>
      </c>
      <c r="F108" s="67">
        <f t="shared" si="54"/>
        <v>1.122700964345178</v>
      </c>
      <c r="G108" s="67">
        <f t="shared" si="54"/>
        <v>1.1619006804041556</v>
      </c>
      <c r="H108" s="67">
        <f t="shared" si="54"/>
        <v>2.5114936957709761</v>
      </c>
      <c r="I108" s="67">
        <f t="shared" si="54"/>
        <v>2.6697718342149095</v>
      </c>
      <c r="J108" s="67">
        <f t="shared" si="54"/>
        <v>2.8449917450005819</v>
      </c>
      <c r="K108" s="67">
        <f t="shared" si="54"/>
        <v>0.28554403778127663</v>
      </c>
      <c r="L108" s="67">
        <f t="shared" si="54"/>
        <v>0.48016243269989228</v>
      </c>
      <c r="M108" s="67">
        <f t="shared" si="54"/>
        <v>0.50967666686632374</v>
      </c>
      <c r="N108" s="67">
        <f t="shared" si="54"/>
        <v>0.3854306889885602</v>
      </c>
      <c r="O108" s="67">
        <f t="shared" si="54"/>
        <v>1.0678043082643658</v>
      </c>
      <c r="P108" s="67">
        <f t="shared" si="54"/>
        <v>0.49071977499661662</v>
      </c>
      <c r="Q108" s="67">
        <f t="shared" si="54"/>
        <v>1.9426705026752111</v>
      </c>
      <c r="R108" s="67">
        <f t="shared" si="54"/>
        <v>3.7896238643545508</v>
      </c>
      <c r="S108" s="67">
        <f t="shared" si="54"/>
        <v>4.0653361002064239</v>
      </c>
      <c r="T108" s="67">
        <f t="shared" si="54"/>
        <v>4.506030838008428</v>
      </c>
      <c r="U108" s="67">
        <f t="shared" si="54"/>
        <v>7.7934793181414763</v>
      </c>
      <c r="V108" s="67">
        <f t="shared" si="54"/>
        <v>10.664651494979552</v>
      </c>
      <c r="W108" s="67">
        <f t="shared" si="54"/>
        <v>16.4663070630322</v>
      </c>
      <c r="X108" s="67">
        <f t="shared" si="54"/>
        <v>3.7035505706805361</v>
      </c>
      <c r="Y108" s="67">
        <f t="shared" si="54"/>
        <v>6.4334089592414543</v>
      </c>
      <c r="Z108" s="67">
        <f t="shared" si="54"/>
        <v>7.3501717851353376</v>
      </c>
      <c r="AA108" s="67">
        <f t="shared" si="54"/>
        <v>5.8412501676547553E-2</v>
      </c>
      <c r="AB108" s="67">
        <f t="shared" si="54"/>
        <v>6.8867826212715491E-2</v>
      </c>
      <c r="AC108" s="67">
        <f t="shared" si="54"/>
        <v>5.5204950834513045E-2</v>
      </c>
      <c r="AD108" s="67">
        <f t="shared" si="54"/>
        <v>5.5603774568111594E-2</v>
      </c>
      <c r="AE108" s="67">
        <f t="shared" si="54"/>
        <v>6.2527974974863273E-2</v>
      </c>
      <c r="AF108" s="67">
        <f t="shared" si="54"/>
        <v>5.6468893729192067E-2</v>
      </c>
      <c r="AG108" s="11"/>
    </row>
    <row r="109" spans="1:33" s="10" customFormat="1" x14ac:dyDescent="0.2">
      <c r="A109" s="209" t="s">
        <v>182</v>
      </c>
      <c r="B109" s="226"/>
      <c r="C109" s="68">
        <f>C121/C118</f>
        <v>0.27010460996670904</v>
      </c>
      <c r="D109" s="68">
        <f t="shared" ref="D109:AF109" si="55">D121/D118</f>
        <v>0.68526523649517934</v>
      </c>
      <c r="E109" s="68">
        <f t="shared" si="55"/>
        <v>0.6619517394266472</v>
      </c>
      <c r="F109" s="68">
        <f t="shared" si="55"/>
        <v>0.75233823057186122</v>
      </c>
      <c r="G109" s="68">
        <f t="shared" si="55"/>
        <v>0.69606685792511969</v>
      </c>
      <c r="H109" s="68">
        <f t="shared" si="55"/>
        <v>0.70296429074340827</v>
      </c>
      <c r="I109" s="68">
        <f t="shared" si="55"/>
        <v>0.6102623289082908</v>
      </c>
      <c r="J109" s="68">
        <f t="shared" si="55"/>
        <v>0.63885997981845277</v>
      </c>
      <c r="K109" s="68">
        <f t="shared" si="55"/>
        <v>4.7130678385134753E-2</v>
      </c>
      <c r="L109" s="68">
        <f t="shared" si="55"/>
        <v>4.7138789675664192E-2</v>
      </c>
      <c r="M109" s="68">
        <f t="shared" si="55"/>
        <v>4.7120379264937402E-2</v>
      </c>
      <c r="N109" s="68">
        <f t="shared" si="55"/>
        <v>4.7083979818152044E-2</v>
      </c>
      <c r="O109" s="68">
        <f t="shared" si="55"/>
        <v>4.7057538248865279E-2</v>
      </c>
      <c r="P109" s="68">
        <f t="shared" si="55"/>
        <v>4.6906293554748367E-2</v>
      </c>
      <c r="Q109" s="68">
        <f t="shared" si="55"/>
        <v>4.639991552541483E-2</v>
      </c>
      <c r="R109" s="68">
        <f t="shared" si="55"/>
        <v>4.5445609852212326E-2</v>
      </c>
      <c r="S109" s="68">
        <f t="shared" si="55"/>
        <v>4.7140283726297277E-2</v>
      </c>
      <c r="T109" s="68">
        <f t="shared" si="55"/>
        <v>6.0880231913054784E-2</v>
      </c>
      <c r="U109" s="68">
        <f t="shared" si="55"/>
        <v>8.0976577479714262E-2</v>
      </c>
      <c r="V109" s="68">
        <f t="shared" si="55"/>
        <v>4.4435076901979884E-2</v>
      </c>
      <c r="W109" s="68">
        <f t="shared" si="55"/>
        <v>4.4647882075268375E-2</v>
      </c>
      <c r="X109" s="68">
        <f t="shared" si="55"/>
        <v>4.6855600533966042E-2</v>
      </c>
      <c r="Y109" s="68">
        <f t="shared" si="55"/>
        <v>5.9979611641618087E-2</v>
      </c>
      <c r="Z109" s="68">
        <f t="shared" si="55"/>
        <v>4.8680990570171612E-2</v>
      </c>
      <c r="AA109" s="68">
        <f t="shared" si="55"/>
        <v>0.17262369587400053</v>
      </c>
      <c r="AB109" s="68">
        <f t="shared" si="55"/>
        <v>0.1727319626930168</v>
      </c>
      <c r="AC109" s="68">
        <f t="shared" si="55"/>
        <v>0.17270663491350743</v>
      </c>
      <c r="AD109" s="68">
        <f t="shared" si="55"/>
        <v>0.1729781174509388</v>
      </c>
      <c r="AE109" s="68">
        <f t="shared" si="55"/>
        <v>0.17276114473628348</v>
      </c>
      <c r="AF109" s="68">
        <f t="shared" si="55"/>
        <v>0.1731646120930479</v>
      </c>
      <c r="AG109" s="13"/>
    </row>
    <row r="110" spans="1:33" s="12" customFormat="1" x14ac:dyDescent="0.2">
      <c r="A110" s="44" t="s">
        <v>386</v>
      </c>
      <c r="B110" s="210"/>
      <c r="C110" s="67">
        <f>2*100*SQRT(C443+C444-(2*C441)/C442)</f>
        <v>2.7856205554958189</v>
      </c>
      <c r="D110" s="67">
        <f t="shared" ref="D110:AF110" si="56">2*100*SQRT(D443+D444-(2*D441)/D442)</f>
        <v>1.3965194053735659</v>
      </c>
      <c r="E110" s="67">
        <f t="shared" si="56"/>
        <v>0.96836129540529814</v>
      </c>
      <c r="F110" s="67">
        <f t="shared" si="56"/>
        <v>0.17642802422231113</v>
      </c>
      <c r="G110" s="67">
        <f t="shared" si="56"/>
        <v>0.28003005078290283</v>
      </c>
      <c r="H110" s="67">
        <f t="shared" si="56"/>
        <v>0.56319456524116618</v>
      </c>
      <c r="I110" s="67">
        <f t="shared" si="56"/>
        <v>1.0988486725912909</v>
      </c>
      <c r="J110" s="67">
        <f t="shared" si="56"/>
        <v>0.98570900588046773</v>
      </c>
      <c r="K110" s="67">
        <f t="shared" si="56"/>
        <v>4.8052345132556615</v>
      </c>
      <c r="L110" s="67">
        <f t="shared" si="56"/>
        <v>8.2161976234649625</v>
      </c>
      <c r="M110" s="67">
        <f t="shared" si="56"/>
        <v>8.7237611594233186</v>
      </c>
      <c r="N110" s="67">
        <f t="shared" si="56"/>
        <v>6.5691047759245684</v>
      </c>
      <c r="O110" s="67">
        <f t="shared" si="56"/>
        <v>18.437589630312985</v>
      </c>
      <c r="P110" s="67">
        <f t="shared" si="56"/>
        <v>8.404843653267994</v>
      </c>
      <c r="Q110" s="67">
        <f t="shared" si="56"/>
        <v>34.066073697215785</v>
      </c>
      <c r="R110" s="67">
        <f t="shared" si="56"/>
        <v>68.01538644940392</v>
      </c>
      <c r="S110" s="67">
        <f t="shared" si="56"/>
        <v>70.191558793765012</v>
      </c>
      <c r="T110" s="67">
        <f t="shared" si="56"/>
        <v>59.228432351216476</v>
      </c>
      <c r="U110" s="67">
        <f t="shared" si="56"/>
        <v>75.085309698128981</v>
      </c>
      <c r="V110" s="67">
        <f t="shared" si="56"/>
        <v>196.00866558306407</v>
      </c>
      <c r="W110" s="67">
        <f t="shared" si="56"/>
        <v>301.13172397376775</v>
      </c>
      <c r="X110" s="67">
        <f t="shared" si="56"/>
        <v>64.358612852500983</v>
      </c>
      <c r="Y110" s="67">
        <f t="shared" si="56"/>
        <v>85.92929462568658</v>
      </c>
      <c r="Z110" s="67">
        <f t="shared" si="56"/>
        <v>122.66677289193287</v>
      </c>
      <c r="AA110" s="67">
        <f t="shared" si="56"/>
        <v>4.7572254721619661E-2</v>
      </c>
      <c r="AB110" s="67">
        <f t="shared" si="56"/>
        <v>4.6738997324078942E-2</v>
      </c>
      <c r="AC110" s="67">
        <f t="shared" si="56"/>
        <v>5.5867564739084344E-2</v>
      </c>
      <c r="AD110" s="67">
        <f t="shared" si="56"/>
        <v>4.2898134773299026E-2</v>
      </c>
      <c r="AE110" s="67">
        <f t="shared" si="56"/>
        <v>4.6803677963101212E-2</v>
      </c>
      <c r="AF110" s="67">
        <f t="shared" si="56"/>
        <v>4.3436079044284828E-2</v>
      </c>
      <c r="AG110" s="11"/>
    </row>
    <row r="111" spans="1:33" s="10" customFormat="1" x14ac:dyDescent="0.2">
      <c r="A111" s="209" t="s">
        <v>192</v>
      </c>
      <c r="B111" s="226"/>
      <c r="C111" s="68">
        <f>C124/C118</f>
        <v>1.5060786866772121E-2</v>
      </c>
      <c r="D111" s="68">
        <f t="shared" ref="D111:AF111" si="57">D124/D118</f>
        <v>4.3647229824080647E-2</v>
      </c>
      <c r="E111" s="68">
        <f t="shared" si="57"/>
        <v>4.1752721364114224E-2</v>
      </c>
      <c r="F111" s="68">
        <f t="shared" si="57"/>
        <v>4.7803716292763698E-2</v>
      </c>
      <c r="G111" s="68">
        <f t="shared" si="57"/>
        <v>4.4204138083573728E-2</v>
      </c>
      <c r="H111" s="68">
        <f t="shared" si="57"/>
        <v>4.4458987870834403E-2</v>
      </c>
      <c r="I111" s="68">
        <f t="shared" si="57"/>
        <v>3.8222988272214944E-2</v>
      </c>
      <c r="J111" s="68">
        <f t="shared" si="57"/>
        <v>3.9986608337403834E-2</v>
      </c>
      <c r="K111" s="68">
        <f t="shared" si="57"/>
        <v>0</v>
      </c>
      <c r="L111" s="68">
        <f t="shared" si="57"/>
        <v>0</v>
      </c>
      <c r="M111" s="68">
        <f t="shared" si="57"/>
        <v>0</v>
      </c>
      <c r="N111" s="68">
        <f t="shared" si="57"/>
        <v>0</v>
      </c>
      <c r="O111" s="68">
        <f t="shared" si="57"/>
        <v>0</v>
      </c>
      <c r="P111" s="68">
        <f t="shared" si="57"/>
        <v>0</v>
      </c>
      <c r="Q111" s="68">
        <f t="shared" si="57"/>
        <v>0</v>
      </c>
      <c r="R111" s="68">
        <f t="shared" si="57"/>
        <v>0</v>
      </c>
      <c r="S111" s="68">
        <f t="shared" si="57"/>
        <v>9.2155081648905899E-5</v>
      </c>
      <c r="T111" s="68">
        <f t="shared" si="57"/>
        <v>9.9748634526312897E-4</v>
      </c>
      <c r="U111" s="68">
        <f t="shared" si="57"/>
        <v>2.3380614438907148E-3</v>
      </c>
      <c r="V111" s="68">
        <f t="shared" si="57"/>
        <v>0</v>
      </c>
      <c r="W111" s="68">
        <f t="shared" si="57"/>
        <v>0</v>
      </c>
      <c r="X111" s="68">
        <f t="shared" si="57"/>
        <v>0</v>
      </c>
      <c r="Y111" s="68">
        <f t="shared" si="57"/>
        <v>8.8597870411829659E-4</v>
      </c>
      <c r="Z111" s="68">
        <f t="shared" si="57"/>
        <v>1.7893065435864832E-4</v>
      </c>
      <c r="AA111" s="68">
        <f t="shared" si="57"/>
        <v>1.1104798559189255E-5</v>
      </c>
      <c r="AB111" s="68">
        <f t="shared" si="57"/>
        <v>7.4214147094949439E-6</v>
      </c>
      <c r="AC111" s="68">
        <f t="shared" si="57"/>
        <v>4.6018964487670533E-6</v>
      </c>
      <c r="AD111" s="68">
        <f t="shared" si="57"/>
        <v>2.3609766815257383E-5</v>
      </c>
      <c r="AE111" s="68">
        <f t="shared" si="57"/>
        <v>2.3424947105165434E-5</v>
      </c>
      <c r="AF111" s="68">
        <f t="shared" si="57"/>
        <v>3.901295319822206E-5</v>
      </c>
      <c r="AG111" s="13"/>
    </row>
    <row r="112" spans="1:33" s="12" customFormat="1" x14ac:dyDescent="0.2">
      <c r="A112" s="44" t="s">
        <v>386</v>
      </c>
      <c r="B112" s="210"/>
      <c r="C112" s="67">
        <f>C98</f>
        <v>3.417892322803572</v>
      </c>
      <c r="D112" s="67">
        <f t="shared" ref="D112:AF112" si="58">D98</f>
        <v>1.572701577917508</v>
      </c>
      <c r="E112" s="67">
        <f t="shared" si="58"/>
        <v>1.0867490963235165</v>
      </c>
      <c r="F112" s="67">
        <f t="shared" si="58"/>
        <v>0.24000829105116839</v>
      </c>
      <c r="G112" s="67">
        <f t="shared" si="58"/>
        <v>0.36661519295843903</v>
      </c>
      <c r="H112" s="67">
        <f t="shared" si="58"/>
        <v>0.65382806480315836</v>
      </c>
      <c r="I112" s="67">
        <f t="shared" si="58"/>
        <v>1.2364040787685173</v>
      </c>
      <c r="J112" s="67">
        <f t="shared" si="58"/>
        <v>1.1127033860702198</v>
      </c>
      <c r="K112" s="67">
        <f t="shared" si="58"/>
        <v>0</v>
      </c>
      <c r="L112" s="67">
        <f t="shared" si="58"/>
        <v>0</v>
      </c>
      <c r="M112" s="67">
        <f t="shared" si="58"/>
        <v>0</v>
      </c>
      <c r="N112" s="67">
        <f t="shared" si="58"/>
        <v>0</v>
      </c>
      <c r="O112" s="67">
        <f t="shared" si="58"/>
        <v>0</v>
      </c>
      <c r="P112" s="67">
        <f t="shared" si="58"/>
        <v>0</v>
      </c>
      <c r="Q112" s="67">
        <f t="shared" si="58"/>
        <v>0</v>
      </c>
      <c r="R112" s="67">
        <f t="shared" si="58"/>
        <v>0</v>
      </c>
      <c r="S112" s="67">
        <f t="shared" si="58"/>
        <v>2441.7098167831828</v>
      </c>
      <c r="T112" s="67">
        <f t="shared" si="58"/>
        <v>245.9760868202205</v>
      </c>
      <c r="U112" s="67">
        <f t="shared" si="58"/>
        <v>177.02379239194406</v>
      </c>
      <c r="V112" s="67">
        <f t="shared" si="58"/>
        <v>0</v>
      </c>
      <c r="W112" s="67">
        <f t="shared" si="58"/>
        <v>0</v>
      </c>
      <c r="X112" s="67">
        <f t="shared" si="58"/>
        <v>0</v>
      </c>
      <c r="Y112" s="67">
        <f t="shared" si="58"/>
        <v>396.15970732780141</v>
      </c>
      <c r="Z112" s="67">
        <f t="shared" si="58"/>
        <v>2270.137797732802</v>
      </c>
      <c r="AA112" s="67">
        <f t="shared" si="58"/>
        <v>27.883624772161912</v>
      </c>
      <c r="AB112" s="67">
        <f t="shared" si="58"/>
        <v>33.90903262633671</v>
      </c>
      <c r="AC112" s="67">
        <f t="shared" si="58"/>
        <v>117.06041509941427</v>
      </c>
      <c r="AD112" s="67">
        <f t="shared" si="58"/>
        <v>9.3058761498711569</v>
      </c>
      <c r="AE112" s="67">
        <f t="shared" si="58"/>
        <v>10.423609959198068</v>
      </c>
      <c r="AF112" s="67">
        <f t="shared" si="58"/>
        <v>6.1435195168483059</v>
      </c>
      <c r="AG112" s="11"/>
    </row>
    <row r="113" spans="1:33" s="24" customFormat="1" x14ac:dyDescent="0.2">
      <c r="A113" s="210" t="s">
        <v>183</v>
      </c>
      <c r="B113" s="210"/>
      <c r="C113" s="67">
        <f>((C108/2)^2+(C110/2)^2-(SQRT(C132*C132+C123*C123))^2)/(2*(C108/2)*(C110/2))</f>
        <v>-0.99904843063797466</v>
      </c>
      <c r="D113" s="67">
        <f t="shared" ref="D113:AF113" si="59">((D108/2)^2+(D110/2)^2-(SQRT(D132*D132+D123*D123))^2)/(2*(D108/2)*(D110/2))</f>
        <v>-0.99689641679488561</v>
      </c>
      <c r="E113" s="67">
        <f t="shared" si="59"/>
        <v>-0.99551760585145865</v>
      </c>
      <c r="F113" s="67">
        <f t="shared" si="59"/>
        <v>-0.9282744711898262</v>
      </c>
      <c r="G113" s="67">
        <f t="shared" si="59"/>
        <v>-0.98068466694660472</v>
      </c>
      <c r="H113" s="67">
        <f t="shared" si="59"/>
        <v>-0.97796370980875591</v>
      </c>
      <c r="I113" s="67">
        <f t="shared" si="59"/>
        <v>-0.9979424040569983</v>
      </c>
      <c r="J113" s="67">
        <f t="shared" si="59"/>
        <v>-0.99225368744361031</v>
      </c>
      <c r="K113" s="67">
        <f t="shared" si="59"/>
        <v>-0.97714541489042106</v>
      </c>
      <c r="L113" s="67">
        <f t="shared" si="59"/>
        <v>-0.99194551217856564</v>
      </c>
      <c r="M113" s="67">
        <f t="shared" si="59"/>
        <v>-0.99178028645532645</v>
      </c>
      <c r="N113" s="67">
        <f t="shared" si="59"/>
        <v>-0.9873088287370968</v>
      </c>
      <c r="O113" s="67">
        <f t="shared" si="59"/>
        <v>-0.99832340298168765</v>
      </c>
      <c r="P113" s="67">
        <f t="shared" si="59"/>
        <v>-0.98769992538958828</v>
      </c>
      <c r="Q113" s="67">
        <f t="shared" si="59"/>
        <v>-0.99877530258444147</v>
      </c>
      <c r="R113" s="67">
        <f t="shared" si="59"/>
        <v>-0.99988458836841354</v>
      </c>
      <c r="S113" s="67">
        <f t="shared" si="59"/>
        <v>-0.99983267734402348</v>
      </c>
      <c r="T113" s="67">
        <f t="shared" si="59"/>
        <v>-0.99989442896305913</v>
      </c>
      <c r="U113" s="67">
        <f t="shared" si="59"/>
        <v>-0.99992570092356226</v>
      </c>
      <c r="V113" s="67">
        <f t="shared" si="59"/>
        <v>-0.99992996933550893</v>
      </c>
      <c r="W113" s="67">
        <f t="shared" si="59"/>
        <v>-0.99997057125985389</v>
      </c>
      <c r="X113" s="67">
        <f t="shared" si="59"/>
        <v>-0.99989210647401294</v>
      </c>
      <c r="Y113" s="67">
        <f t="shared" si="59"/>
        <v>-0.99991688020742253</v>
      </c>
      <c r="Z113" s="67">
        <f t="shared" si="59"/>
        <v>-0.99992033610373621</v>
      </c>
      <c r="AA113" s="67">
        <f t="shared" si="59"/>
        <v>-0.61972442429726704</v>
      </c>
      <c r="AB113" s="67">
        <f t="shared" si="59"/>
        <v>-0.52193029848379324</v>
      </c>
      <c r="AC113" s="67">
        <f t="shared" si="59"/>
        <v>-0.64083014460811449</v>
      </c>
      <c r="AD113" s="67">
        <f t="shared" si="59"/>
        <v>-0.69543172633192873</v>
      </c>
      <c r="AE113" s="67">
        <f t="shared" si="59"/>
        <v>-0.5719349481857553</v>
      </c>
      <c r="AF113" s="67">
        <f t="shared" si="59"/>
        <v>-0.6812455004137743</v>
      </c>
      <c r="AG113" s="11"/>
    </row>
    <row r="114" spans="1:33" s="24" customFormat="1" x14ac:dyDescent="0.2">
      <c r="A114" s="210" t="s">
        <v>193</v>
      </c>
      <c r="B114" s="210"/>
      <c r="C114" s="67">
        <f>IF(C111&gt;0,((C108/2)^2+(C112/2)^2-(C96/2)^2)/(2*(C108/2)*(C112/2)),0)</f>
        <v>-0.99406290364166017</v>
      </c>
      <c r="D114" s="67">
        <f t="shared" ref="D114:AF114" si="60">IF(D111&gt;0,((D108/2)^2+(D112/2)^2-(D96/2)^2)/(2*(D108/2)*(D112/2)),0)</f>
        <v>-0.92885760396164629</v>
      </c>
      <c r="E114" s="67">
        <f t="shared" si="60"/>
        <v>-0.96133087752563684</v>
      </c>
      <c r="F114" s="67">
        <f t="shared" si="60"/>
        <v>-0.70746933067163786</v>
      </c>
      <c r="G114" s="67">
        <f t="shared" si="60"/>
        <v>-0.77327689894746332</v>
      </c>
      <c r="H114" s="67">
        <f t="shared" si="60"/>
        <v>-0.91526980559979543</v>
      </c>
      <c r="I114" s="67">
        <f t="shared" si="60"/>
        <v>-0.96684973593411205</v>
      </c>
      <c r="J114" s="67">
        <f t="shared" si="60"/>
        <v>-0.97105130647280169</v>
      </c>
      <c r="K114" s="67">
        <f t="shared" si="60"/>
        <v>0</v>
      </c>
      <c r="L114" s="67">
        <f t="shared" si="60"/>
        <v>0</v>
      </c>
      <c r="M114" s="67">
        <f t="shared" si="60"/>
        <v>0</v>
      </c>
      <c r="N114" s="67">
        <f t="shared" si="60"/>
        <v>0</v>
      </c>
      <c r="O114" s="67">
        <f t="shared" si="60"/>
        <v>0</v>
      </c>
      <c r="P114" s="67">
        <f t="shared" si="60"/>
        <v>0</v>
      </c>
      <c r="Q114" s="67">
        <f t="shared" si="60"/>
        <v>0</v>
      </c>
      <c r="R114" s="67">
        <f t="shared" si="60"/>
        <v>0</v>
      </c>
      <c r="S114" s="67">
        <f t="shared" si="60"/>
        <v>-0.99941241130325942</v>
      </c>
      <c r="T114" s="67">
        <f t="shared" si="60"/>
        <v>-0.99940860923393626</v>
      </c>
      <c r="U114" s="67">
        <f t="shared" si="60"/>
        <v>-0.99952170199710566</v>
      </c>
      <c r="V114" s="67">
        <f t="shared" si="60"/>
        <v>0</v>
      </c>
      <c r="W114" s="67">
        <f t="shared" si="60"/>
        <v>0</v>
      </c>
      <c r="X114" s="67">
        <f t="shared" si="60"/>
        <v>0</v>
      </c>
      <c r="Y114" s="67">
        <f t="shared" si="60"/>
        <v>-0.99953546378206826</v>
      </c>
      <c r="Z114" s="67">
        <f t="shared" si="60"/>
        <v>-0.99956567044616462</v>
      </c>
      <c r="AA114" s="67">
        <f t="shared" si="60"/>
        <v>-9.2972921107169884E-2</v>
      </c>
      <c r="AB114" s="67">
        <f t="shared" si="60"/>
        <v>-6.4727056044507916E-2</v>
      </c>
      <c r="AC114" s="67">
        <f t="shared" si="60"/>
        <v>-0.17436456575408676</v>
      </c>
      <c r="AD114" s="67">
        <f t="shared" si="60"/>
        <v>-6.4100111545376509E-2</v>
      </c>
      <c r="AE114" s="67">
        <f t="shared" si="60"/>
        <v>-6.5138966416885422E-2</v>
      </c>
      <c r="AF114" s="67">
        <f t="shared" si="60"/>
        <v>-6.6161468768669116E-2</v>
      </c>
      <c r="AG114" s="11"/>
    </row>
    <row r="115" spans="1:33" s="24" customFormat="1" x14ac:dyDescent="0.2">
      <c r="A115" s="210" t="s">
        <v>194</v>
      </c>
      <c r="B115" s="210"/>
      <c r="C115" s="67">
        <f>IF(C111&gt;0,((C112/2)^2+(C110/2)^2-(C104/2)^2)/(2*(C112/2)*(C110/2)),0)</f>
        <v>0.99625949622711985</v>
      </c>
      <c r="D115" s="67">
        <f t="shared" ref="D115:AF115" si="61">IF(D111&gt;0,((D112/2)^2+(D110/2)^2-(D104/2)^2)/(2*(D112/2)*(D110/2)),0)</f>
        <v>0.92472370313869801</v>
      </c>
      <c r="E115" s="67">
        <f t="shared" si="61"/>
        <v>0.952544535508829</v>
      </c>
      <c r="F115" s="67">
        <f t="shared" si="61"/>
        <v>0.49262649600469682</v>
      </c>
      <c r="G115" s="67">
        <f t="shared" si="61"/>
        <v>0.70079391575733041</v>
      </c>
      <c r="H115" s="67">
        <f t="shared" si="61"/>
        <v>0.89956741902823489</v>
      </c>
      <c r="I115" s="67">
        <f t="shared" si="61"/>
        <v>0.96157544887981106</v>
      </c>
      <c r="J115" s="67">
        <f t="shared" si="61"/>
        <v>0.9695425915814343</v>
      </c>
      <c r="K115" s="67">
        <f t="shared" si="61"/>
        <v>0</v>
      </c>
      <c r="L115" s="67">
        <f t="shared" si="61"/>
        <v>0</v>
      </c>
      <c r="M115" s="67">
        <f t="shared" si="61"/>
        <v>0</v>
      </c>
      <c r="N115" s="67">
        <f t="shared" si="61"/>
        <v>0</v>
      </c>
      <c r="O115" s="67">
        <f t="shared" si="61"/>
        <v>0</v>
      </c>
      <c r="P115" s="67">
        <f t="shared" si="61"/>
        <v>0</v>
      </c>
      <c r="Q115" s="67">
        <f t="shared" si="61"/>
        <v>0</v>
      </c>
      <c r="R115" s="67">
        <f t="shared" si="61"/>
        <v>0</v>
      </c>
      <c r="S115" s="67">
        <f t="shared" si="61"/>
        <v>0.99951088247213138</v>
      </c>
      <c r="T115" s="67">
        <f t="shared" si="61"/>
        <v>0.99945791674801765</v>
      </c>
      <c r="U115" s="67">
        <f t="shared" si="61"/>
        <v>0.99953519546473113</v>
      </c>
      <c r="V115" s="67">
        <f t="shared" si="61"/>
        <v>0</v>
      </c>
      <c r="W115" s="67">
        <f t="shared" si="61"/>
        <v>0</v>
      </c>
      <c r="X115" s="67">
        <f t="shared" si="61"/>
        <v>0</v>
      </c>
      <c r="Y115" s="67">
        <f t="shared" si="61"/>
        <v>0.99957588353490257</v>
      </c>
      <c r="Z115" s="67">
        <f t="shared" si="61"/>
        <v>0.99959628819027579</v>
      </c>
      <c r="AA115" s="67">
        <f t="shared" si="61"/>
        <v>0.46395993571697858</v>
      </c>
      <c r="AB115" s="67">
        <f t="shared" si="61"/>
        <v>0.38288453289217284</v>
      </c>
      <c r="AC115" s="67">
        <f t="shared" si="61"/>
        <v>0.69096083608916681</v>
      </c>
      <c r="AD115" s="67">
        <f t="shared" si="61"/>
        <v>0.35721495076739013</v>
      </c>
      <c r="AE115" s="67">
        <f t="shared" si="61"/>
        <v>0.36659515213888128</v>
      </c>
      <c r="AF115" s="67">
        <f t="shared" si="61"/>
        <v>0.38010473519619953</v>
      </c>
      <c r="AG115" s="11"/>
    </row>
    <row r="116" spans="1:33" s="24" customFormat="1" x14ac:dyDescent="0.2">
      <c r="A116" s="210" t="s">
        <v>555</v>
      </c>
      <c r="B116" s="210"/>
      <c r="C116" s="67">
        <f>IF(C111&gt;0,((C98/2)^2+(C104/2)^2-(C110/2)^2)/(2*(C98/2)*(C104/2)),0)</f>
        <v>0.93647210182440277</v>
      </c>
      <c r="D116" s="67">
        <f t="shared" ref="D116:AF116" si="62">IF(D111&gt;0,((D98/2)^2+(D104/2)^2-(D110/2)^2)/(2*(D98/2)*(D104/2)),0)</f>
        <v>0.46774183797154506</v>
      </c>
      <c r="E116" s="67">
        <f t="shared" si="62"/>
        <v>0.48695922238186912</v>
      </c>
      <c r="F116" s="67">
        <f t="shared" si="62"/>
        <v>0.70609207692134424</v>
      </c>
      <c r="G116" s="67">
        <f t="shared" si="62"/>
        <v>0.64891462703610303</v>
      </c>
      <c r="H116" s="67">
        <f t="shared" si="62"/>
        <v>0.51347109038800032</v>
      </c>
      <c r="I116" s="67">
        <f t="shared" si="62"/>
        <v>0.51191998257489302</v>
      </c>
      <c r="J116" s="67">
        <f t="shared" si="62"/>
        <v>0.54521252516554808</v>
      </c>
      <c r="K116" s="67">
        <f t="shared" si="62"/>
        <v>0</v>
      </c>
      <c r="L116" s="67">
        <f t="shared" si="62"/>
        <v>0</v>
      </c>
      <c r="M116" s="67">
        <f t="shared" si="62"/>
        <v>0</v>
      </c>
      <c r="N116" s="67">
        <f t="shared" si="62"/>
        <v>0</v>
      </c>
      <c r="O116" s="67">
        <f t="shared" si="62"/>
        <v>0</v>
      </c>
      <c r="P116" s="67">
        <f t="shared" si="62"/>
        <v>0</v>
      </c>
      <c r="Q116" s="67">
        <f t="shared" si="62"/>
        <v>0</v>
      </c>
      <c r="R116" s="67">
        <f t="shared" si="62"/>
        <v>0</v>
      </c>
      <c r="S116" s="67">
        <f t="shared" si="62"/>
        <v>0.99999957163795927</v>
      </c>
      <c r="T116" s="67">
        <f t="shared" si="62"/>
        <v>0.99994551040146573</v>
      </c>
      <c r="U116" s="67">
        <f t="shared" si="62"/>
        <v>0.99974815019129781</v>
      </c>
      <c r="V116" s="67">
        <f t="shared" si="62"/>
        <v>0</v>
      </c>
      <c r="W116" s="67">
        <f t="shared" si="62"/>
        <v>0</v>
      </c>
      <c r="X116" s="67">
        <f t="shared" si="62"/>
        <v>0</v>
      </c>
      <c r="Y116" s="67">
        <f t="shared" si="62"/>
        <v>0.9999674775269618</v>
      </c>
      <c r="Z116" s="67">
        <f t="shared" si="62"/>
        <v>0.99999868307165019</v>
      </c>
      <c r="AA116" s="67">
        <f t="shared" si="62"/>
        <v>0.99999885608823369</v>
      </c>
      <c r="AB116" s="67">
        <f t="shared" si="62"/>
        <v>0.99999918846298819</v>
      </c>
      <c r="AC116" s="67">
        <f t="shared" si="62"/>
        <v>0.99999994044710561</v>
      </c>
      <c r="AD116" s="67">
        <f t="shared" si="62"/>
        <v>0.99999070023226388</v>
      </c>
      <c r="AE116" s="67">
        <f t="shared" si="62"/>
        <v>0.99999124532239458</v>
      </c>
      <c r="AF116" s="67">
        <f t="shared" si="62"/>
        <v>0.99997850237310792</v>
      </c>
      <c r="AG116" s="11"/>
    </row>
    <row r="117" spans="1:33" s="3" customFormat="1" ht="18" x14ac:dyDescent="0.2">
      <c r="A117" s="1" t="s">
        <v>195</v>
      </c>
      <c r="B117" s="56"/>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1:33" s="3" customFormat="1" ht="18" x14ac:dyDescent="0.2">
      <c r="A118" s="5" t="s">
        <v>196</v>
      </c>
      <c r="B118" s="229"/>
      <c r="C118" s="76">
        <f>(C12*C172*(1+C222))-(C154*C172)-C230</f>
        <v>2.3673743736420477E-14</v>
      </c>
      <c r="D118" s="76">
        <f t="shared" ref="D118:AF118" si="63">(D12*D172*(1+D222))-(D154*D172)-D230</f>
        <v>5.5478433564564992E-15</v>
      </c>
      <c r="E118" s="76">
        <f t="shared" si="63"/>
        <v>9.4008475185061232E-15</v>
      </c>
      <c r="F118" s="76">
        <f t="shared" si="63"/>
        <v>2.7004582851603276E-14</v>
      </c>
      <c r="G118" s="76">
        <f t="shared" si="63"/>
        <v>2.613520586389054E-14</v>
      </c>
      <c r="H118" s="76">
        <f t="shared" si="63"/>
        <v>1.2169065465612043E-14</v>
      </c>
      <c r="I118" s="76">
        <f t="shared" si="63"/>
        <v>1.1297027055330736E-14</v>
      </c>
      <c r="J118" s="76">
        <f t="shared" si="63"/>
        <v>1.0660709704951696E-14</v>
      </c>
      <c r="K118" s="76">
        <f t="shared" si="63"/>
        <v>7.2600362269802836E-14</v>
      </c>
      <c r="L118" s="76">
        <f t="shared" si="63"/>
        <v>5.1532605321807224E-14</v>
      </c>
      <c r="M118" s="76">
        <f t="shared" si="63"/>
        <v>4.7604963626740097E-14</v>
      </c>
      <c r="N118" s="76">
        <f t="shared" si="63"/>
        <v>7.4327560874560666E-14</v>
      </c>
      <c r="O118" s="76">
        <f t="shared" si="63"/>
        <v>1.9358919574381642E-14</v>
      </c>
      <c r="P118" s="76">
        <f t="shared" si="63"/>
        <v>4.0114698522915326E-14</v>
      </c>
      <c r="Q118" s="76">
        <f t="shared" si="63"/>
        <v>7.7636122510720268E-15</v>
      </c>
      <c r="R118" s="76">
        <f t="shared" si="63"/>
        <v>7.6706629336372603E-15</v>
      </c>
      <c r="S118" s="76">
        <f t="shared" si="63"/>
        <v>7.4108160177352528E-15</v>
      </c>
      <c r="T118" s="76">
        <f t="shared" si="63"/>
        <v>6.6856033778373637E-15</v>
      </c>
      <c r="U118" s="76">
        <f t="shared" si="63"/>
        <v>3.8653443450732448E-15</v>
      </c>
      <c r="V118" s="76">
        <f t="shared" si="63"/>
        <v>1.9108843654781842E-15</v>
      </c>
      <c r="W118" s="76">
        <f t="shared" si="63"/>
        <v>1.6497687855911674E-15</v>
      </c>
      <c r="X118" s="76">
        <f t="shared" si="63"/>
        <v>7.0178221990882224E-15</v>
      </c>
      <c r="Y118" s="76">
        <f t="shared" si="63"/>
        <v>4.6826073489786423E-15</v>
      </c>
      <c r="Z118" s="76">
        <f t="shared" si="63"/>
        <v>4.0985384514666265E-15</v>
      </c>
      <c r="AA118" s="76">
        <f t="shared" si="63"/>
        <v>5.3949871562835081E-12</v>
      </c>
      <c r="AB118" s="76">
        <f t="shared" si="63"/>
        <v>6.640748927275612E-12</v>
      </c>
      <c r="AC118" s="76">
        <f t="shared" si="63"/>
        <v>3.1009254916084381E-12</v>
      </c>
      <c r="AD118" s="76">
        <f t="shared" si="63"/>
        <v>7.6058174920735121E-12</v>
      </c>
      <c r="AE118" s="76">
        <f t="shared" si="63"/>
        <v>6.8427245429441582E-12</v>
      </c>
      <c r="AF118" s="76">
        <f t="shared" si="63"/>
        <v>6.9789620959884172E-12</v>
      </c>
      <c r="AG118" s="26"/>
    </row>
    <row r="119" spans="1:33" s="3" customFormat="1" ht="18" x14ac:dyDescent="0.2">
      <c r="A119" s="27" t="s">
        <v>388</v>
      </c>
      <c r="B119" s="64"/>
      <c r="C119" s="28">
        <f>SQRT(C286*C286+C288*C288+C290*C290+C292*C292)</f>
        <v>1.5082120515868061E-16</v>
      </c>
      <c r="D119" s="28">
        <f t="shared" ref="D119:AF119" si="64">SQRT(D286*D286+D288*D288+D290*D290+D292*D292)</f>
        <v>1.5067744991292002E-16</v>
      </c>
      <c r="E119" s="28">
        <f t="shared" si="64"/>
        <v>1.5066986446855135E-16</v>
      </c>
      <c r="F119" s="28">
        <f t="shared" si="64"/>
        <v>1.5094127602878635E-16</v>
      </c>
      <c r="G119" s="28">
        <f t="shared" si="64"/>
        <v>1.5103404091839697E-16</v>
      </c>
      <c r="H119" s="28">
        <f t="shared" si="64"/>
        <v>1.507064397139499E-16</v>
      </c>
      <c r="I119" s="28">
        <f t="shared" si="64"/>
        <v>1.5071243747821064E-16</v>
      </c>
      <c r="J119" s="28">
        <f t="shared" si="64"/>
        <v>1.5067093096274961E-16</v>
      </c>
      <c r="K119" s="28">
        <f t="shared" si="64"/>
        <v>1.0341765648454477E-16</v>
      </c>
      <c r="L119" s="28">
        <f t="shared" si="64"/>
        <v>1.2363280884402883E-16</v>
      </c>
      <c r="M119" s="28">
        <f t="shared" si="64"/>
        <v>1.2124543305175195E-16</v>
      </c>
      <c r="N119" s="28">
        <f t="shared" si="64"/>
        <v>1.4307714715017127E-16</v>
      </c>
      <c r="O119" s="28">
        <f t="shared" si="64"/>
        <v>1.0334018078576036E-16</v>
      </c>
      <c r="P119" s="28">
        <f t="shared" si="64"/>
        <v>9.7956612627305522E-17</v>
      </c>
      <c r="Q119" s="28">
        <f t="shared" si="64"/>
        <v>7.5403490175345835E-17</v>
      </c>
      <c r="R119" s="28">
        <f t="shared" si="64"/>
        <v>1.453417469150426E-16</v>
      </c>
      <c r="S119" s="28">
        <f t="shared" si="64"/>
        <v>1.5063499969237046E-16</v>
      </c>
      <c r="T119" s="28">
        <f t="shared" si="64"/>
        <v>1.5062565584075897E-16</v>
      </c>
      <c r="U119" s="28">
        <f t="shared" si="64"/>
        <v>1.5062063728434875E-16</v>
      </c>
      <c r="V119" s="28">
        <f t="shared" si="64"/>
        <v>1.0189358143705186E-16</v>
      </c>
      <c r="W119" s="28">
        <f t="shared" si="64"/>
        <v>1.3582734930186312E-16</v>
      </c>
      <c r="X119" s="28">
        <f t="shared" si="64"/>
        <v>1.2995206920221421E-16</v>
      </c>
      <c r="Y119" s="28">
        <f t="shared" si="64"/>
        <v>1.5062455125290849E-16</v>
      </c>
      <c r="Z119" s="28">
        <f t="shared" si="64"/>
        <v>1.5062336647720033E-16</v>
      </c>
      <c r="AA119" s="28">
        <f t="shared" si="64"/>
        <v>1.3283047093968123E-15</v>
      </c>
      <c r="AB119" s="28">
        <f t="shared" si="64"/>
        <v>2.0199320927513335E-15</v>
      </c>
      <c r="AC119" s="28">
        <f t="shared" si="64"/>
        <v>6.9645800240988304E-16</v>
      </c>
      <c r="AD119" s="28">
        <f t="shared" si="64"/>
        <v>1.7445410694752158E-15</v>
      </c>
      <c r="AE119" s="28">
        <f t="shared" si="64"/>
        <v>1.7863015162232949E-15</v>
      </c>
      <c r="AF119" s="28">
        <f t="shared" si="64"/>
        <v>1.6244126356897538E-15</v>
      </c>
      <c r="AG119" s="28"/>
    </row>
    <row r="120" spans="1:33" s="3" customFormat="1" ht="18" x14ac:dyDescent="0.2">
      <c r="A120" s="27" t="s">
        <v>389</v>
      </c>
      <c r="B120" s="210"/>
      <c r="C120" s="77">
        <f t="shared" ref="C120:AF120" si="65">(C119/C118)*100</f>
        <v>0.6370821904549564</v>
      </c>
      <c r="D120" s="77">
        <f t="shared" si="65"/>
        <v>2.7159643888929166</v>
      </c>
      <c r="E120" s="77">
        <f t="shared" si="65"/>
        <v>1.6027263943165639</v>
      </c>
      <c r="F120" s="77">
        <f t="shared" si="65"/>
        <v>0.55894689008249165</v>
      </c>
      <c r="G120" s="77">
        <f t="shared" si="65"/>
        <v>0.57789497318278915</v>
      </c>
      <c r="H120" s="77">
        <f t="shared" si="65"/>
        <v>1.2384388936013513</v>
      </c>
      <c r="I120" s="77">
        <f t="shared" si="65"/>
        <v>1.3340893736028885</v>
      </c>
      <c r="J120" s="77">
        <f t="shared" si="65"/>
        <v>1.4133292729354203</v>
      </c>
      <c r="K120" s="77">
        <f t="shared" si="65"/>
        <v>0.14244785184434264</v>
      </c>
      <c r="L120" s="77">
        <f t="shared" si="65"/>
        <v>0.23991181519345911</v>
      </c>
      <c r="M120" s="77">
        <f t="shared" si="65"/>
        <v>0.25469073771888656</v>
      </c>
      <c r="N120" s="77">
        <f t="shared" si="65"/>
        <v>0.19249541551839194</v>
      </c>
      <c r="O120" s="77">
        <f t="shared" si="65"/>
        <v>0.53381171603457744</v>
      </c>
      <c r="P120" s="77">
        <f t="shared" si="65"/>
        <v>0.2441913219697969</v>
      </c>
      <c r="Q120" s="77">
        <f t="shared" si="65"/>
        <v>0.97124235132858228</v>
      </c>
      <c r="R120" s="77">
        <f t="shared" si="65"/>
        <v>1.8947742610054268</v>
      </c>
      <c r="S120" s="77">
        <f t="shared" si="65"/>
        <v>2.0326371526681695</v>
      </c>
      <c r="T120" s="77">
        <f t="shared" si="65"/>
        <v>2.2529852180594485</v>
      </c>
      <c r="U120" s="77">
        <f t="shared" si="65"/>
        <v>3.8966938993761144</v>
      </c>
      <c r="V120" s="77">
        <f t="shared" si="65"/>
        <v>5.3322735419185747</v>
      </c>
      <c r="W120" s="77">
        <f t="shared" si="65"/>
        <v>8.2331142695969728</v>
      </c>
      <c r="X120" s="77">
        <f t="shared" si="65"/>
        <v>1.8517435397422579</v>
      </c>
      <c r="Y120" s="77">
        <f t="shared" si="65"/>
        <v>3.2166812211099085</v>
      </c>
      <c r="Z120" s="77">
        <f t="shared" si="65"/>
        <v>3.675050710413637</v>
      </c>
      <c r="AA120" s="77">
        <f t="shared" si="65"/>
        <v>2.4621091226320051E-2</v>
      </c>
      <c r="AB120" s="77">
        <f t="shared" si="65"/>
        <v>3.0417233280042363E-2</v>
      </c>
      <c r="AC120" s="77">
        <f t="shared" si="65"/>
        <v>2.2459681933493764E-2</v>
      </c>
      <c r="AD120" s="77">
        <f t="shared" si="65"/>
        <v>2.2936930465309074E-2</v>
      </c>
      <c r="AE120" s="77">
        <f t="shared" si="65"/>
        <v>2.610512092095291E-2</v>
      </c>
      <c r="AF120" s="77">
        <f t="shared" si="65"/>
        <v>2.3275848376128647E-2</v>
      </c>
      <c r="AG120" s="19"/>
    </row>
    <row r="121" spans="1:33" s="3" customFormat="1" ht="18" x14ac:dyDescent="0.2">
      <c r="A121" s="5" t="s">
        <v>197</v>
      </c>
      <c r="B121" s="229"/>
      <c r="C121" s="76">
        <f>(C12*C16*(1+2*C222)*C172)-(C154*C162*C172)-(C204*C230)</f>
        <v>6.3943873183776743E-15</v>
      </c>
      <c r="D121" s="76">
        <f t="shared" ref="D121:AF121" si="66">(D12*D16*(1+2*D222)*D172)-(D154*D162*D172)-(D204*D230)</f>
        <v>3.8017441897003726E-15</v>
      </c>
      <c r="E121" s="76">
        <f t="shared" si="66"/>
        <v>6.2229073669598078E-15</v>
      </c>
      <c r="F121" s="76">
        <f t="shared" si="66"/>
        <v>2.0316580079906434E-14</v>
      </c>
      <c r="G121" s="76">
        <f t="shared" si="66"/>
        <v>1.8191850626904452E-14</v>
      </c>
      <c r="H121" s="76">
        <f t="shared" si="66"/>
        <v>8.5544184740440735E-15</v>
      </c>
      <c r="I121" s="76">
        <f t="shared" si="66"/>
        <v>6.894150040526105E-15</v>
      </c>
      <c r="J121" s="76">
        <f t="shared" si="66"/>
        <v>6.8107007869558243E-15</v>
      </c>
      <c r="K121" s="76">
        <f t="shared" si="66"/>
        <v>3.4217043247823493E-15</v>
      </c>
      <c r="L121" s="76">
        <f t="shared" si="66"/>
        <v>2.4291846437036839E-15</v>
      </c>
      <c r="M121" s="76">
        <f t="shared" si="66"/>
        <v>2.2431639409855433E-15</v>
      </c>
      <c r="N121" s="76">
        <f t="shared" si="66"/>
        <v>3.4996373761502821E-15</v>
      </c>
      <c r="O121" s="76">
        <f t="shared" si="66"/>
        <v>9.1098309832817093E-16</v>
      </c>
      <c r="P121" s="76">
        <f t="shared" si="66"/>
        <v>1.8816318247760971E-15</v>
      </c>
      <c r="Q121" s="76">
        <f t="shared" si="66"/>
        <v>3.6023095262181769E-16</v>
      </c>
      <c r="R121" s="76">
        <f t="shared" si="66"/>
        <v>3.485979549899054E-16</v>
      </c>
      <c r="S121" s="76">
        <f t="shared" si="66"/>
        <v>3.4934796971942832E-16</v>
      </c>
      <c r="T121" s="76">
        <f t="shared" si="66"/>
        <v>4.0702108412144113E-16</v>
      </c>
      <c r="U121" s="76">
        <f t="shared" si="66"/>
        <v>3.1300235584459898E-16</v>
      </c>
      <c r="V121" s="76">
        <f t="shared" si="66"/>
        <v>8.4910293730814143E-17</v>
      </c>
      <c r="W121" s="76">
        <f t="shared" si="66"/>
        <v>7.3658682190533159E-17</v>
      </c>
      <c r="X121" s="76">
        <f t="shared" si="66"/>
        <v>3.2882427357887685E-16</v>
      </c>
      <c r="Y121" s="76">
        <f t="shared" si="66"/>
        <v>2.808609702619258E-16</v>
      </c>
      <c r="Z121" s="76">
        <f t="shared" si="66"/>
        <v>1.9952091170733261E-16</v>
      </c>
      <c r="AA121" s="76">
        <f t="shared" si="66"/>
        <v>9.3130262211042323E-13</v>
      </c>
      <c r="AB121" s="76">
        <f t="shared" si="66"/>
        <v>1.1470695959598623E-12</v>
      </c>
      <c r="AC121" s="76">
        <f t="shared" si="66"/>
        <v>5.3555040677320709E-13</v>
      </c>
      <c r="AD121" s="76">
        <f t="shared" si="66"/>
        <v>1.3156399914542968E-12</v>
      </c>
      <c r="AE121" s="76">
        <f t="shared" si="66"/>
        <v>1.182156925154095E-12</v>
      </c>
      <c r="AF121" s="76">
        <f t="shared" si="66"/>
        <v>1.2085092641639187E-12</v>
      </c>
      <c r="AG121" s="26"/>
    </row>
    <row r="122" spans="1:33" s="3" customFormat="1" ht="18" x14ac:dyDescent="0.2">
      <c r="A122" s="27" t="s">
        <v>390</v>
      </c>
      <c r="B122" s="64"/>
      <c r="C122" s="28">
        <f>SQRT(C295*C295+C297*C297+C299*C299+C301*C301+C303*C303+C305*C305+C307*C307+2*C309+2*C311)</f>
        <v>1.2978462109927387E-16</v>
      </c>
      <c r="D122" s="28">
        <f t="shared" ref="D122:AF122" si="67">SQRT(D295*D295+D297*D297+D299*D299+D301*D301+D303*D303+D305*D305+D307*D307+2*D309+2*D311)</f>
        <v>1.2976477175192006E-16</v>
      </c>
      <c r="E122" s="28">
        <f t="shared" si="67"/>
        <v>1.2979474639472091E-16</v>
      </c>
      <c r="F122" s="28">
        <f t="shared" si="67"/>
        <v>1.3042828967516704E-16</v>
      </c>
      <c r="G122" s="28">
        <f t="shared" si="67"/>
        <v>1.3031106839039738E-16</v>
      </c>
      <c r="H122" s="28">
        <f t="shared" si="67"/>
        <v>1.2986590574826358E-16</v>
      </c>
      <c r="I122" s="28">
        <f t="shared" si="67"/>
        <v>1.2981303780978114E-16</v>
      </c>
      <c r="J122" s="28">
        <f t="shared" si="67"/>
        <v>1.2979184785501023E-16</v>
      </c>
      <c r="K122" s="28">
        <f t="shared" si="67"/>
        <v>8.6989621329794997E-17</v>
      </c>
      <c r="L122" s="28">
        <f t="shared" si="67"/>
        <v>1.0558070469319824E-16</v>
      </c>
      <c r="M122" s="28">
        <f t="shared" si="67"/>
        <v>1.035159877696037E-16</v>
      </c>
      <c r="N122" s="28">
        <f t="shared" si="67"/>
        <v>1.2161045792439983E-16</v>
      </c>
      <c r="O122" s="28">
        <f t="shared" si="67"/>
        <v>8.8837667435581193E-17</v>
      </c>
      <c r="P122" s="28">
        <f t="shared" si="67"/>
        <v>8.3635994155286037E-17</v>
      </c>
      <c r="Q122" s="28">
        <f t="shared" si="67"/>
        <v>6.4853248860440382E-17</v>
      </c>
      <c r="R122" s="28">
        <f t="shared" si="67"/>
        <v>1.2515466974161154E-16</v>
      </c>
      <c r="S122" s="28">
        <f t="shared" si="67"/>
        <v>1.2970634830660523E-16</v>
      </c>
      <c r="T122" s="28">
        <f t="shared" si="67"/>
        <v>1.2970544315506556E-16</v>
      </c>
      <c r="U122" s="28">
        <f t="shared" si="67"/>
        <v>1.2970544658553141E-16</v>
      </c>
      <c r="V122" s="28">
        <f t="shared" si="67"/>
        <v>8.7743157293478565E-17</v>
      </c>
      <c r="W122" s="28">
        <f t="shared" si="67"/>
        <v>1.1696909144723061E-16</v>
      </c>
      <c r="X122" s="28">
        <f t="shared" si="67"/>
        <v>1.1190183032297178E-16</v>
      </c>
      <c r="Y122" s="28">
        <f t="shared" si="67"/>
        <v>1.2970468953537575E-16</v>
      </c>
      <c r="Z122" s="28">
        <f t="shared" si="67"/>
        <v>1.2970494160954364E-16</v>
      </c>
      <c r="AA122" s="28">
        <f t="shared" si="67"/>
        <v>4.19916035546589E-16</v>
      </c>
      <c r="AB122" s="28">
        <f t="shared" si="67"/>
        <v>5.5146969135382358E-16</v>
      </c>
      <c r="AC122" s="28">
        <f t="shared" si="67"/>
        <v>2.5532597103388035E-16</v>
      </c>
      <c r="AD122" s="28">
        <f t="shared" si="67"/>
        <v>5.6058790136538825E-16</v>
      </c>
      <c r="AE122" s="28">
        <f t="shared" si="67"/>
        <v>5.3733140770996553E-16</v>
      </c>
      <c r="AF122" s="28">
        <f t="shared" si="67"/>
        <v>5.1964683158758706E-16</v>
      </c>
      <c r="AG122" s="28"/>
    </row>
    <row r="123" spans="1:33" s="3" customFormat="1" ht="18" x14ac:dyDescent="0.2">
      <c r="A123" s="27" t="s">
        <v>391</v>
      </c>
      <c r="B123" s="210"/>
      <c r="C123" s="77">
        <f t="shared" ref="C123:AF123" si="68">(C122/C121)*100</f>
        <v>2.0296646830614828</v>
      </c>
      <c r="D123" s="77">
        <f t="shared" si="68"/>
        <v>3.4132957210397481</v>
      </c>
      <c r="E123" s="77">
        <f t="shared" si="68"/>
        <v>2.0857573275774461</v>
      </c>
      <c r="F123" s="77">
        <f t="shared" si="68"/>
        <v>0.64197955149037911</v>
      </c>
      <c r="G123" s="77">
        <f t="shared" si="68"/>
        <v>0.71631562430309637</v>
      </c>
      <c r="H123" s="77">
        <f t="shared" si="68"/>
        <v>1.5181149500963085</v>
      </c>
      <c r="I123" s="77">
        <f t="shared" si="68"/>
        <v>1.8829447726941968</v>
      </c>
      <c r="J123" s="77">
        <f t="shared" si="68"/>
        <v>1.9057047419201518</v>
      </c>
      <c r="K123" s="77">
        <f t="shared" si="68"/>
        <v>2.5422892533336676</v>
      </c>
      <c r="L123" s="77">
        <f t="shared" si="68"/>
        <v>4.3463433282792137</v>
      </c>
      <c r="M123" s="77">
        <f t="shared" si="68"/>
        <v>4.6147312676630996</v>
      </c>
      <c r="N123" s="77">
        <f t="shared" si="68"/>
        <v>3.4749445400590449</v>
      </c>
      <c r="O123" s="77">
        <f t="shared" si="68"/>
        <v>9.751845846384569</v>
      </c>
      <c r="P123" s="77">
        <f t="shared" si="68"/>
        <v>4.4448649865516714</v>
      </c>
      <c r="Q123" s="77">
        <f t="shared" si="68"/>
        <v>18.003241639406113</v>
      </c>
      <c r="R123" s="77">
        <f t="shared" si="68"/>
        <v>35.902296026158773</v>
      </c>
      <c r="S123" s="77">
        <f t="shared" si="68"/>
        <v>37.128124262687493</v>
      </c>
      <c r="T123" s="77">
        <f t="shared" si="68"/>
        <v>31.867008421697857</v>
      </c>
      <c r="U123" s="77">
        <f t="shared" si="68"/>
        <v>41.439127905455202</v>
      </c>
      <c r="V123" s="77">
        <f t="shared" si="68"/>
        <v>103.33630168757308</v>
      </c>
      <c r="W123" s="77">
        <f t="shared" si="68"/>
        <v>158.79878375323941</v>
      </c>
      <c r="X123" s="77">
        <f t="shared" si="68"/>
        <v>34.03089106076267</v>
      </c>
      <c r="Y123" s="77">
        <f t="shared" si="68"/>
        <v>46.181101423389492</v>
      </c>
      <c r="Z123" s="77">
        <f t="shared" si="68"/>
        <v>65.008194128443748</v>
      </c>
      <c r="AA123" s="77">
        <f t="shared" si="68"/>
        <v>4.5089106975240552E-2</v>
      </c>
      <c r="AB123" s="77">
        <f t="shared" si="68"/>
        <v>4.8076393385037497E-2</v>
      </c>
      <c r="AC123" s="77">
        <f t="shared" si="68"/>
        <v>4.7675432191764698E-2</v>
      </c>
      <c r="AD123" s="77">
        <f t="shared" si="68"/>
        <v>4.2609521222117863E-2</v>
      </c>
      <c r="AE123" s="77">
        <f t="shared" si="68"/>
        <v>4.5453475446157368E-2</v>
      </c>
      <c r="AF123" s="77">
        <f t="shared" si="68"/>
        <v>4.299899446340559E-2</v>
      </c>
      <c r="AG123" s="19"/>
    </row>
    <row r="124" spans="1:33" s="3" customFormat="1" ht="18" x14ac:dyDescent="0.2">
      <c r="A124" s="5" t="s">
        <v>198</v>
      </c>
      <c r="B124" s="229"/>
      <c r="C124" s="76">
        <f>(C14*C12*(1-C222)*C172)-(C164*C154*C172)-(C230/C198)</f>
        <v>3.5654520875281029E-16</v>
      </c>
      <c r="D124" s="76">
        <f t="shared" ref="D124:AF124" si="69">(D14*D12*(1-D222)*D172)-(D164*D154*D172)-(D230/D198)</f>
        <v>2.4214799400725579E-16</v>
      </c>
      <c r="E124" s="76">
        <f t="shared" si="69"/>
        <v>3.9251096702671079E-16</v>
      </c>
      <c r="F124" s="76">
        <f t="shared" si="69"/>
        <v>1.2909194172424748E-15</v>
      </c>
      <c r="G124" s="76">
        <f t="shared" si="69"/>
        <v>1.1552842488500433E-15</v>
      </c>
      <c r="H124" s="76">
        <f t="shared" si="69"/>
        <v>5.4102433393503558E-16</v>
      </c>
      <c r="I124" s="76">
        <f t="shared" si="69"/>
        <v>4.3180613264680166E-16</v>
      </c>
      <c r="J124" s="76">
        <f t="shared" si="69"/>
        <v>4.2628562357066344E-16</v>
      </c>
      <c r="K124" s="76">
        <f t="shared" si="69"/>
        <v>0</v>
      </c>
      <c r="L124" s="76">
        <f t="shared" si="69"/>
        <v>0</v>
      </c>
      <c r="M124" s="76">
        <f t="shared" si="69"/>
        <v>0</v>
      </c>
      <c r="N124" s="76">
        <f t="shared" si="69"/>
        <v>0</v>
      </c>
      <c r="O124" s="76">
        <f t="shared" si="69"/>
        <v>0</v>
      </c>
      <c r="P124" s="76">
        <f t="shared" si="69"/>
        <v>0</v>
      </c>
      <c r="Q124" s="76">
        <f t="shared" si="69"/>
        <v>0</v>
      </c>
      <c r="R124" s="76">
        <f t="shared" si="69"/>
        <v>0</v>
      </c>
      <c r="S124" s="76">
        <f t="shared" si="69"/>
        <v>6.8294435519941192E-19</v>
      </c>
      <c r="T124" s="76">
        <f t="shared" si="69"/>
        <v>6.6687980792378213E-18</v>
      </c>
      <c r="U124" s="76">
        <f t="shared" si="69"/>
        <v>9.0374125805767599E-18</v>
      </c>
      <c r="V124" s="76">
        <f t="shared" si="69"/>
        <v>0</v>
      </c>
      <c r="W124" s="76">
        <f t="shared" si="69"/>
        <v>0</v>
      </c>
      <c r="X124" s="76">
        <f t="shared" si="69"/>
        <v>0</v>
      </c>
      <c r="Y124" s="76">
        <f t="shared" si="69"/>
        <v>4.1486903909429097E-18</v>
      </c>
      <c r="Z124" s="76">
        <f t="shared" si="69"/>
        <v>7.3335416703500467E-19</v>
      </c>
      <c r="AA124" s="76">
        <f t="shared" si="69"/>
        <v>5.9910245599941638E-17</v>
      </c>
      <c r="AB124" s="76">
        <f t="shared" si="69"/>
        <v>4.9283751770945998E-17</v>
      </c>
      <c r="AC124" s="76">
        <f t="shared" si="69"/>
        <v>1.42701380077241E-17</v>
      </c>
      <c r="AD124" s="76">
        <f t="shared" si="69"/>
        <v>1.7957157742726134E-16</v>
      </c>
      <c r="AE124" s="76">
        <f t="shared" si="69"/>
        <v>1.6029046047368423E-16</v>
      </c>
      <c r="AF124" s="76">
        <f t="shared" si="69"/>
        <v>2.7226992162296185E-16</v>
      </c>
      <c r="AG124" s="26"/>
    </row>
    <row r="125" spans="1:33" s="3" customFormat="1" ht="18" x14ac:dyDescent="0.2">
      <c r="A125" s="27" t="s">
        <v>392</v>
      </c>
      <c r="B125" s="64"/>
      <c r="C125" s="28">
        <f>SQRT(C314*C314+C316*C316+C318*C318+C320*C320+C322*C322+C324*C324+C326*C326+2*C328+2*C330)</f>
        <v>8.3555317059312634E-18</v>
      </c>
      <c r="D125" s="28">
        <f t="shared" ref="D125:AF125" si="70">SQRT(D314*D314+D316*D316+D318*D318+D320*D320+D322*D322+D324*D324+D326*D326+2*D328+2*D330)</f>
        <v>8.3770729506132035E-18</v>
      </c>
      <c r="E125" s="28">
        <f t="shared" si="70"/>
        <v>8.3640182407375545E-18</v>
      </c>
      <c r="F125" s="28">
        <f t="shared" si="70"/>
        <v>8.3873915913929818E-18</v>
      </c>
      <c r="G125" s="28">
        <f t="shared" si="70"/>
        <v>8.4285157772601785E-18</v>
      </c>
      <c r="H125" s="28">
        <f t="shared" si="70"/>
        <v>8.367670470021776E-18</v>
      </c>
      <c r="I125" s="28">
        <f t="shared" si="70"/>
        <v>8.3704852867267739E-18</v>
      </c>
      <c r="J125" s="28">
        <f t="shared" si="70"/>
        <v>8.3578320340168625E-18</v>
      </c>
      <c r="K125" s="28">
        <f t="shared" si="70"/>
        <v>5.5985830779298696E-18</v>
      </c>
      <c r="L125" s="28">
        <f t="shared" si="70"/>
        <v>6.7969701536789691E-18</v>
      </c>
      <c r="M125" s="28">
        <f t="shared" si="70"/>
        <v>6.6639501192579177E-18</v>
      </c>
      <c r="N125" s="28">
        <f t="shared" si="70"/>
        <v>7.8280802917713975E-18</v>
      </c>
      <c r="O125" s="28">
        <f t="shared" si="70"/>
        <v>5.719351017338275E-18</v>
      </c>
      <c r="P125" s="28">
        <f t="shared" si="70"/>
        <v>5.3842373321172888E-18</v>
      </c>
      <c r="Q125" s="28">
        <f t="shared" si="70"/>
        <v>4.1760361716956432E-18</v>
      </c>
      <c r="R125" s="28">
        <f t="shared" si="70"/>
        <v>8.0585603276893833E-18</v>
      </c>
      <c r="S125" s="28">
        <f t="shared" si="70"/>
        <v>8.3516335300456174E-18</v>
      </c>
      <c r="T125" s="28">
        <f t="shared" si="70"/>
        <v>8.3519860314926407E-18</v>
      </c>
      <c r="U125" s="28">
        <f t="shared" si="70"/>
        <v>8.3511881696602213E-18</v>
      </c>
      <c r="V125" s="28">
        <f t="shared" si="70"/>
        <v>5.6494595470335693E-18</v>
      </c>
      <c r="W125" s="28">
        <f t="shared" si="70"/>
        <v>7.5308876419706928E-18</v>
      </c>
      <c r="X125" s="28">
        <f t="shared" si="70"/>
        <v>7.2046384592377635E-18</v>
      </c>
      <c r="Y125" s="28">
        <f t="shared" si="70"/>
        <v>8.3511099471247073E-18</v>
      </c>
      <c r="Z125" s="28">
        <f t="shared" si="70"/>
        <v>8.351014795240199E-18</v>
      </c>
      <c r="AA125" s="28">
        <f t="shared" si="70"/>
        <v>8.3542137023992043E-18</v>
      </c>
      <c r="AB125" s="28">
        <f t="shared" si="70"/>
        <v>8.3569335459814469E-18</v>
      </c>
      <c r="AC125" s="28">
        <f t="shared" si="70"/>
        <v>8.3530287867585697E-18</v>
      </c>
      <c r="AD125" s="28">
        <f t="shared" si="70"/>
        <v>8.3586553180355437E-18</v>
      </c>
      <c r="AE125" s="28">
        <f t="shared" si="70"/>
        <v>8.3573946381539471E-18</v>
      </c>
      <c r="AF125" s="28">
        <f t="shared" si="70"/>
        <v>8.3688023830967265E-18</v>
      </c>
      <c r="AG125" s="28"/>
    </row>
    <row r="126" spans="1:33" s="3" customFormat="1" ht="18" x14ac:dyDescent="0.2">
      <c r="A126" s="27" t="s">
        <v>393</v>
      </c>
      <c r="B126" s="210"/>
      <c r="C126" s="77">
        <f t="shared" ref="C126:AF126" si="71">IF(C124&gt;0,(C125/C124)*100,0)</f>
        <v>2.3434704774630926</v>
      </c>
      <c r="D126" s="77">
        <f t="shared" si="71"/>
        <v>3.4594847605312768</v>
      </c>
      <c r="E126" s="77">
        <f t="shared" si="71"/>
        <v>2.1309005208428671</v>
      </c>
      <c r="F126" s="77">
        <f t="shared" si="71"/>
        <v>0.64972232033733279</v>
      </c>
      <c r="G126" s="77">
        <f t="shared" si="71"/>
        <v>0.72956207839324627</v>
      </c>
      <c r="H126" s="77">
        <f t="shared" si="71"/>
        <v>1.5466347713348025</v>
      </c>
      <c r="I126" s="77">
        <f t="shared" si="71"/>
        <v>1.9384822618009137</v>
      </c>
      <c r="J126" s="77">
        <f t="shared" si="71"/>
        <v>1.9606178514794372</v>
      </c>
      <c r="K126" s="77">
        <f t="shared" si="71"/>
        <v>0</v>
      </c>
      <c r="L126" s="77">
        <f t="shared" si="71"/>
        <v>0</v>
      </c>
      <c r="M126" s="77">
        <f t="shared" si="71"/>
        <v>0</v>
      </c>
      <c r="N126" s="77">
        <f t="shared" si="71"/>
        <v>0</v>
      </c>
      <c r="O126" s="77">
        <f t="shared" si="71"/>
        <v>0</v>
      </c>
      <c r="P126" s="77">
        <f t="shared" si="71"/>
        <v>0</v>
      </c>
      <c r="Q126" s="77">
        <f t="shared" si="71"/>
        <v>0</v>
      </c>
      <c r="R126" s="77">
        <f t="shared" si="71"/>
        <v>0</v>
      </c>
      <c r="S126" s="77">
        <f t="shared" si="71"/>
        <v>1222.8863840022568</v>
      </c>
      <c r="T126" s="77">
        <f t="shared" si="71"/>
        <v>125.23974983580837</v>
      </c>
      <c r="U126" s="77">
        <f t="shared" si="71"/>
        <v>92.406848699246353</v>
      </c>
      <c r="V126" s="77">
        <f t="shared" si="71"/>
        <v>0</v>
      </c>
      <c r="W126" s="77">
        <f t="shared" si="71"/>
        <v>0</v>
      </c>
      <c r="X126" s="77">
        <f t="shared" si="71"/>
        <v>0</v>
      </c>
      <c r="Y126" s="77">
        <f t="shared" si="71"/>
        <v>201.2950873691656</v>
      </c>
      <c r="Z126" s="77">
        <f t="shared" si="71"/>
        <v>1138.7423935973334</v>
      </c>
      <c r="AA126" s="77">
        <f t="shared" si="71"/>
        <v>13.944549248196275</v>
      </c>
      <c r="AB126" s="77">
        <f t="shared" si="71"/>
        <v>16.956772253909588</v>
      </c>
      <c r="AC126" s="77">
        <f t="shared" si="71"/>
        <v>58.53502455433344</v>
      </c>
      <c r="AD126" s="77">
        <f t="shared" si="71"/>
        <v>4.6547763503505255</v>
      </c>
      <c r="AE126" s="77">
        <f t="shared" si="71"/>
        <v>5.2139064380104054</v>
      </c>
      <c r="AF126" s="77">
        <f t="shared" si="71"/>
        <v>3.0737153532096011</v>
      </c>
      <c r="AG126" s="19"/>
    </row>
    <row r="127" spans="1:33" x14ac:dyDescent="0.2">
      <c r="A127" s="5" t="s">
        <v>340</v>
      </c>
      <c r="B127" s="229"/>
      <c r="C127" s="76">
        <f>IF(C8=2535,C369,IF(C8=535,C369,IF(C8=55,C374,IF(C8=2536,C385,IF(C8=536,C385,IF(C8=56,C390,IF(C8=53,C401,0)))))))</f>
        <v>1.3251703239785275E-12</v>
      </c>
      <c r="D127" s="76">
        <f t="shared" ref="D127:AF127" si="72">IF(D8=2535,D369,IF(D8=535,D369,IF(D8=55,D374,IF(D8=2536,D385,IF(D8=536,D385,IF(D8=56,D390,IF(D8=53,D401,0)))))))</f>
        <v>7.5470175210622346E-14</v>
      </c>
      <c r="E127" s="76">
        <f t="shared" si="72"/>
        <v>1.5113690019623194E-13</v>
      </c>
      <c r="F127" s="76">
        <f t="shared" si="72"/>
        <v>2.5147932032629668E-13</v>
      </c>
      <c r="G127" s="76">
        <f t="shared" si="72"/>
        <v>3.2483985818970817E-13</v>
      </c>
      <c r="H127" s="76">
        <f t="shared" si="72"/>
        <v>1.4294857840390749E-13</v>
      </c>
      <c r="I127" s="76">
        <f t="shared" si="72"/>
        <v>2.4231473888442934E-13</v>
      </c>
      <c r="J127" s="76">
        <f t="shared" si="72"/>
        <v>1.9675211549283839E-13</v>
      </c>
      <c r="K127" s="76">
        <f t="shared" si="72"/>
        <v>1.0479035755784367E-11</v>
      </c>
      <c r="L127" s="76">
        <f t="shared" si="72"/>
        <v>7.4394838694250878E-12</v>
      </c>
      <c r="M127" s="76">
        <f t="shared" si="72"/>
        <v>6.8729050721555388E-12</v>
      </c>
      <c r="N127" s="76">
        <f t="shared" si="72"/>
        <v>1.0731051732676167E-11</v>
      </c>
      <c r="O127" s="76">
        <f t="shared" si="72"/>
        <v>2.7962590059727031E-12</v>
      </c>
      <c r="P127" s="76">
        <f t="shared" si="72"/>
        <v>5.7930339655589517E-12</v>
      </c>
      <c r="Q127" s="76">
        <f t="shared" si="72"/>
        <v>1.1227178393093777E-12</v>
      </c>
      <c r="R127" s="76">
        <f t="shared" si="72"/>
        <v>1.7366832177454181E-12</v>
      </c>
      <c r="S127" s="76">
        <f t="shared" si="72"/>
        <v>1.6750865268658227E-12</v>
      </c>
      <c r="T127" s="76">
        <f t="shared" si="72"/>
        <v>1.4933548045227536E-12</v>
      </c>
      <c r="U127" s="76">
        <f t="shared" si="72"/>
        <v>8.4162265619168076E-13</v>
      </c>
      <c r="V127" s="76">
        <f t="shared" si="72"/>
        <v>4.3653088450351447E-13</v>
      </c>
      <c r="W127" s="76">
        <f t="shared" si="72"/>
        <v>3.7688906236182407E-13</v>
      </c>
      <c r="X127" s="76">
        <f t="shared" si="72"/>
        <v>1.5842560136835814E-12</v>
      </c>
      <c r="Y127" s="76">
        <f t="shared" si="72"/>
        <v>1.0448288409671589E-12</v>
      </c>
      <c r="Z127" s="76">
        <f t="shared" si="72"/>
        <v>9.2907675308590639E-13</v>
      </c>
      <c r="AA127" s="76">
        <f t="shared" si="72"/>
        <v>1.0998323421804604E-11</v>
      </c>
      <c r="AB127" s="76">
        <f t="shared" si="72"/>
        <v>1.3503215532757396E-11</v>
      </c>
      <c r="AC127" s="76">
        <f t="shared" si="72"/>
        <v>6.3087886389167191E-12</v>
      </c>
      <c r="AD127" s="76">
        <f t="shared" si="72"/>
        <v>1.5461775792756785E-11</v>
      </c>
      <c r="AE127" s="76">
        <f t="shared" si="72"/>
        <v>1.3940633023876206E-11</v>
      </c>
      <c r="AF127" s="76">
        <f t="shared" si="72"/>
        <v>1.4185119802817276E-11</v>
      </c>
      <c r="AG127" s="76"/>
    </row>
    <row r="128" spans="1:33" x14ac:dyDescent="0.2">
      <c r="A128" s="27" t="s">
        <v>394</v>
      </c>
      <c r="B128" s="64"/>
      <c r="C128" s="28">
        <f>IF(C8=2535,C370,IF(C8=535,C370,IF(C8=55,C375,IF(C8=2536,C386,IF(C8=536,C386,IF(C8=56,C391,IF(C8=53,C402,0)))))))</f>
        <v>2.4787209923647601E-16</v>
      </c>
      <c r="D128" s="28">
        <f t="shared" ref="D128:AF128" si="73">IF(D8=2535,D370,IF(D8=535,D370,IF(D8=55,D375,IF(D8=2536,D386,IF(D8=536,D386,IF(D8=56,D391,IF(D8=53,D402,0)))))))</f>
        <v>1.0992179536505139E-16</v>
      </c>
      <c r="E128" s="28">
        <f t="shared" si="73"/>
        <v>1.2811168215424761E-16</v>
      </c>
      <c r="F128" s="28">
        <f t="shared" si="73"/>
        <v>1.3049663697586697E-16</v>
      </c>
      <c r="G128" s="28">
        <f t="shared" si="73"/>
        <v>1.9329193770389703E-16</v>
      </c>
      <c r="H128" s="28">
        <f t="shared" si="73"/>
        <v>2.9700728821496605E-16</v>
      </c>
      <c r="I128" s="28">
        <f t="shared" si="73"/>
        <v>1.1172667077608067E-16</v>
      </c>
      <c r="J128" s="28">
        <f t="shared" si="73"/>
        <v>3.1722197535297403E-16</v>
      </c>
      <c r="K128" s="28">
        <f t="shared" si="73"/>
        <v>1.0076173652841708E-15</v>
      </c>
      <c r="L128" s="28">
        <f t="shared" si="73"/>
        <v>6.7083923977484865E-16</v>
      </c>
      <c r="M128" s="28">
        <f t="shared" si="73"/>
        <v>5.9602119367721205E-16</v>
      </c>
      <c r="N128" s="28">
        <f t="shared" si="73"/>
        <v>9.8771743366861073E-16</v>
      </c>
      <c r="O128" s="28">
        <f t="shared" si="73"/>
        <v>2.7477710729877739E-16</v>
      </c>
      <c r="P128" s="28">
        <f t="shared" si="73"/>
        <v>1.3855802178914045E-15</v>
      </c>
      <c r="Q128" s="28">
        <f t="shared" si="73"/>
        <v>1.5082303994002438E-16</v>
      </c>
      <c r="R128" s="28">
        <f t="shared" si="73"/>
        <v>2.0750141725670049E-16</v>
      </c>
      <c r="S128" s="28">
        <f t="shared" si="73"/>
        <v>1.8773490937344106E-16</v>
      </c>
      <c r="T128" s="28">
        <f t="shared" si="73"/>
        <v>1.7420831994139878E-16</v>
      </c>
      <c r="U128" s="28">
        <f t="shared" si="73"/>
        <v>1.5893640865434579E-16</v>
      </c>
      <c r="V128" s="28">
        <f t="shared" si="73"/>
        <v>1.0300200351251358E-16</v>
      </c>
      <c r="W128" s="28">
        <f t="shared" si="73"/>
        <v>9.5828983910402459E-17</v>
      </c>
      <c r="X128" s="28">
        <f t="shared" si="73"/>
        <v>1.7178071215529968E-16</v>
      </c>
      <c r="Y128" s="28">
        <f t="shared" si="73"/>
        <v>1.278073703100409E-16</v>
      </c>
      <c r="Z128" s="28">
        <f t="shared" si="73"/>
        <v>1.4940341056550391E-16</v>
      </c>
      <c r="AA128" s="28">
        <f t="shared" si="73"/>
        <v>1.7278466027259569E-15</v>
      </c>
      <c r="AB128" s="28">
        <f t="shared" si="73"/>
        <v>2.1793633143910418E-15</v>
      </c>
      <c r="AC128" s="28">
        <f t="shared" si="73"/>
        <v>1.0122791705921292E-15</v>
      </c>
      <c r="AD128" s="28">
        <f t="shared" si="73"/>
        <v>2.4292322501389608E-15</v>
      </c>
      <c r="AE128" s="28">
        <f t="shared" si="73"/>
        <v>2.3982734112699749E-15</v>
      </c>
      <c r="AF128" s="28">
        <f t="shared" si="73"/>
        <v>2.2670416521774963E-15</v>
      </c>
      <c r="AG128" s="28"/>
    </row>
    <row r="129" spans="1:33" x14ac:dyDescent="0.2">
      <c r="A129" s="27" t="s">
        <v>395</v>
      </c>
      <c r="B129" s="210"/>
      <c r="C129" s="77">
        <f t="shared" ref="C129:AF129" si="74">(C128/C127)*100</f>
        <v>1.8704923793667179E-2</v>
      </c>
      <c r="D129" s="77">
        <f t="shared" si="74"/>
        <v>0.14564931783751844</v>
      </c>
      <c r="E129" s="77">
        <f t="shared" si="74"/>
        <v>8.4765323351154456E-2</v>
      </c>
      <c r="F129" s="77">
        <f t="shared" si="74"/>
        <v>5.1891597609913381E-2</v>
      </c>
      <c r="G129" s="77">
        <f t="shared" si="74"/>
        <v>5.9503762494260641E-2</v>
      </c>
      <c r="H129" s="77">
        <f t="shared" si="74"/>
        <v>0.20777211745034563</v>
      </c>
      <c r="I129" s="77">
        <f t="shared" si="74"/>
        <v>4.6108078811238996E-2</v>
      </c>
      <c r="J129" s="77">
        <f t="shared" si="74"/>
        <v>0.16122925771769944</v>
      </c>
      <c r="K129" s="77">
        <f t="shared" si="74"/>
        <v>9.6155542243280528E-3</v>
      </c>
      <c r="L129" s="77">
        <f t="shared" si="74"/>
        <v>9.0172819989821438E-3</v>
      </c>
      <c r="M129" s="77">
        <f t="shared" si="74"/>
        <v>8.6720416973587403E-3</v>
      </c>
      <c r="N129" s="77">
        <f t="shared" si="74"/>
        <v>9.2042929087835876E-3</v>
      </c>
      <c r="O129" s="77">
        <f t="shared" si="74"/>
        <v>9.8265971325211254E-3</v>
      </c>
      <c r="P129" s="77">
        <f t="shared" si="74"/>
        <v>2.3918040635166796E-2</v>
      </c>
      <c r="Q129" s="77">
        <f t="shared" si="74"/>
        <v>1.3433743961243264E-2</v>
      </c>
      <c r="R129" s="77">
        <f t="shared" si="74"/>
        <v>1.1948144321108901E-2</v>
      </c>
      <c r="S129" s="77">
        <f t="shared" si="74"/>
        <v>1.120747533709218E-2</v>
      </c>
      <c r="T129" s="77">
        <f t="shared" si="74"/>
        <v>1.1665567982491092E-2</v>
      </c>
      <c r="U129" s="77">
        <f t="shared" si="74"/>
        <v>1.8884521166947745E-2</v>
      </c>
      <c r="V129" s="77">
        <f t="shared" si="74"/>
        <v>2.3595582161308526E-2</v>
      </c>
      <c r="W129" s="77">
        <f t="shared" si="74"/>
        <v>2.5426310678765187E-2</v>
      </c>
      <c r="X129" s="77">
        <f t="shared" si="74"/>
        <v>1.0842989432995071E-2</v>
      </c>
      <c r="Y129" s="77">
        <f t="shared" si="74"/>
        <v>1.2232373887356939E-2</v>
      </c>
      <c r="Z129" s="77">
        <f t="shared" si="74"/>
        <v>1.6080846934256401E-2</v>
      </c>
      <c r="AA129" s="77">
        <f t="shared" si="74"/>
        <v>1.5710090860761868E-2</v>
      </c>
      <c r="AB129" s="77">
        <f t="shared" si="74"/>
        <v>1.6139587708602687E-2</v>
      </c>
      <c r="AC129" s="77">
        <f t="shared" si="74"/>
        <v>1.6045539461375068E-2</v>
      </c>
      <c r="AD129" s="77">
        <f t="shared" si="74"/>
        <v>1.5711211200442821E-2</v>
      </c>
      <c r="AE129" s="77">
        <f t="shared" si="74"/>
        <v>1.7203475675476414E-2</v>
      </c>
      <c r="AF129" s="77">
        <f t="shared" si="74"/>
        <v>1.5981829435992807E-2</v>
      </c>
      <c r="AG129" s="19"/>
    </row>
    <row r="130" spans="1:33" x14ac:dyDescent="0.2">
      <c r="A130" s="198" t="s">
        <v>125</v>
      </c>
      <c r="B130" s="230"/>
      <c r="C130" s="76">
        <f>C127/C245</f>
        <v>9.6110409339899006E-15</v>
      </c>
      <c r="D130" s="76">
        <f t="shared" ref="D130:AF130" si="75">D127/D245</f>
        <v>5.473612939557757E-16</v>
      </c>
      <c r="E130" s="76">
        <f t="shared" si="75"/>
        <v>1.0961481012201332E-15</v>
      </c>
      <c r="F130" s="76">
        <f t="shared" si="75"/>
        <v>1.8238999153343247E-15</v>
      </c>
      <c r="G130" s="76">
        <f t="shared" si="75"/>
        <v>2.355960677325995E-15</v>
      </c>
      <c r="H130" s="76">
        <f t="shared" si="75"/>
        <v>1.0367607949224506E-15</v>
      </c>
      <c r="I130" s="76">
        <f t="shared" si="75"/>
        <v>1.7574321067916256E-15</v>
      </c>
      <c r="J130" s="76">
        <f t="shared" si="75"/>
        <v>1.4269808202265622E-15</v>
      </c>
      <c r="K130" s="76">
        <f t="shared" si="75"/>
        <v>7.6001129647406201E-14</v>
      </c>
      <c r="L130" s="76">
        <f t="shared" si="75"/>
        <v>5.395622185541839E-14</v>
      </c>
      <c r="M130" s="76">
        <f t="shared" si="75"/>
        <v>4.984700516503872E-14</v>
      </c>
      <c r="N130" s="76">
        <f t="shared" si="75"/>
        <v>7.7828921762954505E-14</v>
      </c>
      <c r="O130" s="76">
        <f t="shared" si="75"/>
        <v>2.0280381534469852E-14</v>
      </c>
      <c r="P130" s="76">
        <f t="shared" si="75"/>
        <v>4.2015041815774236E-14</v>
      </c>
      <c r="Q130" s="76">
        <f t="shared" si="75"/>
        <v>8.1427171403349129E-15</v>
      </c>
      <c r="R130" s="76">
        <f t="shared" si="75"/>
        <v>1.25956137057254E-14</v>
      </c>
      <c r="S130" s="76">
        <f t="shared" si="75"/>
        <v>1.2148872402566165E-14</v>
      </c>
      <c r="T130" s="76">
        <f t="shared" si="75"/>
        <v>1.0830829739793688E-14</v>
      </c>
      <c r="U130" s="76">
        <f t="shared" si="75"/>
        <v>6.1040227458056341E-15</v>
      </c>
      <c r="V130" s="76">
        <f t="shared" si="75"/>
        <v>3.1660203401763452E-15</v>
      </c>
      <c r="W130" s="76">
        <f t="shared" si="75"/>
        <v>2.7334570812432848E-15</v>
      </c>
      <c r="X130" s="76">
        <f t="shared" si="75"/>
        <v>1.149010743895838E-14</v>
      </c>
      <c r="Y130" s="76">
        <f t="shared" si="75"/>
        <v>7.5778128877803807E-15</v>
      </c>
      <c r="Z130" s="76">
        <f t="shared" si="75"/>
        <v>6.7382996307361941E-15</v>
      </c>
      <c r="AA130" s="76">
        <f t="shared" si="75"/>
        <v>7.9767358730813787E-14</v>
      </c>
      <c r="AB130" s="76">
        <f t="shared" si="75"/>
        <v>9.7934548395397426E-14</v>
      </c>
      <c r="AC130" s="76">
        <f t="shared" si="75"/>
        <v>4.5755647221618216E-14</v>
      </c>
      <c r="AD130" s="76">
        <f t="shared" si="75"/>
        <v>1.1213936606292997E-13</v>
      </c>
      <c r="AE130" s="76">
        <f t="shared" si="75"/>
        <v>1.0110699901273721E-13</v>
      </c>
      <c r="AF130" s="76">
        <f t="shared" si="75"/>
        <v>1.0288018423859353E-13</v>
      </c>
      <c r="AG130" s="26"/>
    </row>
    <row r="131" spans="1:33" x14ac:dyDescent="0.2">
      <c r="A131" s="27" t="s">
        <v>396</v>
      </c>
      <c r="B131" s="64"/>
      <c r="C131" s="28">
        <f>SQRT(C405*C405)</f>
        <v>1.7977378824809693E-18</v>
      </c>
      <c r="D131" s="28">
        <f t="shared" ref="D131:AF131" si="76">SQRT(D405*D405)</f>
        <v>7.9722799075320126E-19</v>
      </c>
      <c r="E131" s="28">
        <f t="shared" si="76"/>
        <v>9.2915348240678577E-19</v>
      </c>
      <c r="F131" s="28">
        <f t="shared" si="76"/>
        <v>9.464508048728386E-19</v>
      </c>
      <c r="G131" s="28">
        <f t="shared" si="76"/>
        <v>1.4018852458942343E-18</v>
      </c>
      <c r="H131" s="28">
        <f t="shared" si="76"/>
        <v>2.1540998565054109E-18</v>
      </c>
      <c r="I131" s="28">
        <f t="shared" si="76"/>
        <v>8.103181808535007E-19</v>
      </c>
      <c r="J131" s="28">
        <f t="shared" si="76"/>
        <v>2.3007105842252251E-18</v>
      </c>
      <c r="K131" s="28">
        <f t="shared" si="76"/>
        <v>7.3079298323482084E-18</v>
      </c>
      <c r="L131" s="28">
        <f t="shared" si="76"/>
        <v>4.8653846806995113E-18</v>
      </c>
      <c r="M131" s="28">
        <f t="shared" si="76"/>
        <v>4.3227530727967226E-18</v>
      </c>
      <c r="N131" s="28">
        <f t="shared" si="76"/>
        <v>7.163601926810348E-18</v>
      </c>
      <c r="O131" s="28">
        <f t="shared" si="76"/>
        <v>1.9928713903305583E-18</v>
      </c>
      <c r="P131" s="28">
        <f t="shared" si="76"/>
        <v>1.0049174774379202E-17</v>
      </c>
      <c r="Q131" s="28">
        <f t="shared" si="76"/>
        <v>1.0938717721208615E-18</v>
      </c>
      <c r="R131" s="28">
        <f t="shared" si="76"/>
        <v>1.5049421036894436E-18</v>
      </c>
      <c r="S131" s="28">
        <f t="shared" si="76"/>
        <v>1.361581878252401E-18</v>
      </c>
      <c r="T131" s="28">
        <f t="shared" si="76"/>
        <v>1.2634778063634957E-18</v>
      </c>
      <c r="U131" s="28">
        <f t="shared" si="76"/>
        <v>1.1527154674669697E-18</v>
      </c>
      <c r="V131" s="28">
        <f t="shared" si="76"/>
        <v>7.4704093061004918E-19</v>
      </c>
      <c r="W131" s="28">
        <f t="shared" si="76"/>
        <v>6.9501728974762445E-19</v>
      </c>
      <c r="X131" s="28">
        <f t="shared" si="76"/>
        <v>1.2458711354460378E-18</v>
      </c>
      <c r="Y131" s="28">
        <f t="shared" si="76"/>
        <v>9.2694640491761603E-19</v>
      </c>
      <c r="Z131" s="28">
        <f t="shared" si="76"/>
        <v>1.0835756495902519E-18</v>
      </c>
      <c r="AA131" s="28">
        <f t="shared" si="76"/>
        <v>1.2531524533840709E-17</v>
      </c>
      <c r="AB131" s="28">
        <f t="shared" si="76"/>
        <v>1.5806232335299114E-17</v>
      </c>
      <c r="AC131" s="28">
        <f t="shared" si="76"/>
        <v>7.3417404307523147E-18</v>
      </c>
      <c r="AD131" s="28">
        <f t="shared" si="76"/>
        <v>1.7618452640984631E-17</v>
      </c>
      <c r="AE131" s="28">
        <f t="shared" si="76"/>
        <v>1.7393917981360423E-17</v>
      </c>
      <c r="AF131" s="28">
        <f t="shared" si="76"/>
        <v>1.6442135568447174E-17</v>
      </c>
      <c r="AG131" s="28"/>
    </row>
    <row r="132" spans="1:33" x14ac:dyDescent="0.2">
      <c r="A132" s="27" t="s">
        <v>397</v>
      </c>
      <c r="B132" s="210"/>
      <c r="C132" s="77">
        <f t="shared" ref="C132:AF132" si="77">(C131/C130)*100</f>
        <v>1.8704923793667182E-2</v>
      </c>
      <c r="D132" s="77">
        <f t="shared" si="77"/>
        <v>0.14564931783751844</v>
      </c>
      <c r="E132" s="77">
        <f t="shared" si="77"/>
        <v>8.4765323351154456E-2</v>
      </c>
      <c r="F132" s="77">
        <f t="shared" si="77"/>
        <v>5.1891597609913381E-2</v>
      </c>
      <c r="G132" s="77">
        <f t="shared" si="77"/>
        <v>5.9503762494260634E-2</v>
      </c>
      <c r="H132" s="77">
        <f t="shared" si="77"/>
        <v>0.20777211745034563</v>
      </c>
      <c r="I132" s="77">
        <f t="shared" si="77"/>
        <v>4.6108078811239003E-2</v>
      </c>
      <c r="J132" s="77">
        <f t="shared" si="77"/>
        <v>0.16122925771769941</v>
      </c>
      <c r="K132" s="77">
        <f t="shared" si="77"/>
        <v>9.6155542243280545E-3</v>
      </c>
      <c r="L132" s="77">
        <f t="shared" si="77"/>
        <v>9.0172819989821438E-3</v>
      </c>
      <c r="M132" s="77">
        <f t="shared" si="77"/>
        <v>8.6720416973587403E-3</v>
      </c>
      <c r="N132" s="77">
        <f t="shared" si="77"/>
        <v>9.2042929087835876E-3</v>
      </c>
      <c r="O132" s="77">
        <f t="shared" si="77"/>
        <v>9.8265971325211254E-3</v>
      </c>
      <c r="P132" s="77">
        <f t="shared" si="77"/>
        <v>2.3918040635166796E-2</v>
      </c>
      <c r="Q132" s="77">
        <f t="shared" si="77"/>
        <v>1.3433743961243264E-2</v>
      </c>
      <c r="R132" s="77">
        <f t="shared" si="77"/>
        <v>1.1948144321108899E-2</v>
      </c>
      <c r="S132" s="77">
        <f t="shared" si="77"/>
        <v>1.120747533709218E-2</v>
      </c>
      <c r="T132" s="77">
        <f t="shared" si="77"/>
        <v>1.1665567982491092E-2</v>
      </c>
      <c r="U132" s="77">
        <f t="shared" si="77"/>
        <v>1.8884521166947742E-2</v>
      </c>
      <c r="V132" s="77">
        <f t="shared" si="77"/>
        <v>2.3595582161308526E-2</v>
      </c>
      <c r="W132" s="77">
        <f t="shared" si="77"/>
        <v>2.5426310678765187E-2</v>
      </c>
      <c r="X132" s="77">
        <f t="shared" si="77"/>
        <v>1.0842989432995073E-2</v>
      </c>
      <c r="Y132" s="77">
        <f t="shared" si="77"/>
        <v>1.2232373887356937E-2</v>
      </c>
      <c r="Z132" s="77">
        <f t="shared" si="77"/>
        <v>1.6080846934256404E-2</v>
      </c>
      <c r="AA132" s="77">
        <f t="shared" si="77"/>
        <v>1.5710090860761868E-2</v>
      </c>
      <c r="AB132" s="77">
        <f t="shared" si="77"/>
        <v>1.6139587708602687E-2</v>
      </c>
      <c r="AC132" s="77">
        <f t="shared" si="77"/>
        <v>1.6045539461375068E-2</v>
      </c>
      <c r="AD132" s="77">
        <f t="shared" si="77"/>
        <v>1.5711211200442821E-2</v>
      </c>
      <c r="AE132" s="77">
        <f t="shared" si="77"/>
        <v>1.7203475675476414E-2</v>
      </c>
      <c r="AF132" s="77">
        <f t="shared" si="77"/>
        <v>1.5981829435992807E-2</v>
      </c>
      <c r="AG132" s="19"/>
    </row>
    <row r="133" spans="1:33" x14ac:dyDescent="0.2">
      <c r="A133" s="198" t="s">
        <v>199</v>
      </c>
      <c r="B133" s="231"/>
      <c r="C133" s="78">
        <f>(C12*(1+C222)-C154)*C172-C230-C234</f>
        <v>1.705262298057594E-14</v>
      </c>
      <c r="D133" s="78">
        <f t="shared" ref="D133:AF133" si="78">(D12*(1+D222)-D154)*D172-D230-D234</f>
        <v>1.0511033365419188E-15</v>
      </c>
      <c r="E133" s="78">
        <f t="shared" si="78"/>
        <v>2.1118349420422608E-15</v>
      </c>
      <c r="F133" s="78">
        <f t="shared" si="78"/>
        <v>3.0319332750591714E-15</v>
      </c>
      <c r="G133" s="78">
        <f t="shared" si="78"/>
        <v>4.6813303631697652E-15</v>
      </c>
      <c r="H133" s="78">
        <f t="shared" si="78"/>
        <v>2.1221279135280621E-15</v>
      </c>
      <c r="I133" s="78">
        <f t="shared" si="78"/>
        <v>3.2782948520020791E-15</v>
      </c>
      <c r="J133" s="78">
        <f t="shared" si="78"/>
        <v>2.7444945354508235E-15</v>
      </c>
      <c r="K133" s="78">
        <f t="shared" si="78"/>
        <v>7.2600362269802836E-14</v>
      </c>
      <c r="L133" s="78">
        <f t="shared" si="78"/>
        <v>5.153260532180723E-14</v>
      </c>
      <c r="M133" s="78">
        <f t="shared" si="78"/>
        <v>4.760496362674009E-14</v>
      </c>
      <c r="N133" s="78">
        <f t="shared" si="78"/>
        <v>7.4327560874560666E-14</v>
      </c>
      <c r="O133" s="78">
        <f t="shared" si="78"/>
        <v>1.9358919574381642E-14</v>
      </c>
      <c r="P133" s="78">
        <f t="shared" si="78"/>
        <v>4.0114698522915326E-14</v>
      </c>
      <c r="Q133" s="78">
        <f t="shared" si="78"/>
        <v>7.7636122510720268E-15</v>
      </c>
      <c r="R133" s="78">
        <f t="shared" si="78"/>
        <v>7.6706629336372587E-15</v>
      </c>
      <c r="S133" s="78">
        <f t="shared" si="78"/>
        <v>7.3981335950458118E-15</v>
      </c>
      <c r="T133" s="78">
        <f t="shared" si="78"/>
        <v>6.5617623717180246E-15</v>
      </c>
      <c r="U133" s="78">
        <f t="shared" si="78"/>
        <v>3.6975176612546657E-15</v>
      </c>
      <c r="V133" s="78">
        <f t="shared" si="78"/>
        <v>1.9108843654781846E-15</v>
      </c>
      <c r="W133" s="78">
        <f t="shared" si="78"/>
        <v>1.649768785591167E-15</v>
      </c>
      <c r="X133" s="78">
        <f t="shared" si="78"/>
        <v>7.0178221990882224E-15</v>
      </c>
      <c r="Y133" s="78">
        <f t="shared" si="78"/>
        <v>4.6055652814295348E-15</v>
      </c>
      <c r="Z133" s="78">
        <f t="shared" si="78"/>
        <v>4.0849199077937913E-15</v>
      </c>
      <c r="AA133" s="78">
        <f t="shared" si="78"/>
        <v>5.3938746102139173E-12</v>
      </c>
      <c r="AB133" s="78">
        <f t="shared" si="78"/>
        <v>6.6398337174683688E-12</v>
      </c>
      <c r="AC133" s="78">
        <f t="shared" si="78"/>
        <v>3.1006604920946807E-12</v>
      </c>
      <c r="AD133" s="78">
        <f t="shared" si="78"/>
        <v>7.6024828094883159E-12</v>
      </c>
      <c r="AE133" s="78">
        <f t="shared" si="78"/>
        <v>6.8397479148230877E-12</v>
      </c>
      <c r="AF133" s="78">
        <f t="shared" si="78"/>
        <v>6.973905985332615E-12</v>
      </c>
      <c r="AG133" s="29"/>
    </row>
    <row r="134" spans="1:33" x14ac:dyDescent="0.2">
      <c r="A134" s="27" t="s">
        <v>398</v>
      </c>
      <c r="B134" s="64"/>
      <c r="C134" s="28">
        <f>SQRT(C447*C447+C449*C449+C451*C451+C453*C453+C455*C455+C457*C457+C459*C459+C461*C461+2*C463+2*C465)</f>
        <v>4.2100630742112102E-17</v>
      </c>
      <c r="D134" s="28">
        <f t="shared" ref="D134:AF134" si="79">SQRT(D447*D447+D449*D449+D451*D451+D453*D453+D455*D455+D457*D457+D459*D459+D461*D461+2*D463+2*D465)</f>
        <v>3.0741521398614152E-17</v>
      </c>
      <c r="E134" s="28">
        <f t="shared" si="79"/>
        <v>4.5779156911778266E-17</v>
      </c>
      <c r="F134" s="28">
        <f t="shared" si="79"/>
        <v>1.471330713161785E-16</v>
      </c>
      <c r="G134" s="28">
        <f t="shared" si="79"/>
        <v>1.3301645166402407E-16</v>
      </c>
      <c r="H134" s="28">
        <f t="shared" si="79"/>
        <v>6.2483605356027531E-17</v>
      </c>
      <c r="I134" s="28">
        <f t="shared" si="79"/>
        <v>5.0561826427176421E-17</v>
      </c>
      <c r="J134" s="28">
        <f t="shared" si="79"/>
        <v>4.9231885475346541E-17</v>
      </c>
      <c r="K134" s="28">
        <f t="shared" si="79"/>
        <v>2.2740941874276982E-17</v>
      </c>
      <c r="L134" s="28">
        <f t="shared" si="79"/>
        <v>1.7350235911166327E-17</v>
      </c>
      <c r="M134" s="28">
        <f t="shared" si="79"/>
        <v>1.7062283115077124E-17</v>
      </c>
      <c r="N134" s="28">
        <f t="shared" si="79"/>
        <v>2.4291558693502126E-17</v>
      </c>
      <c r="O134" s="28">
        <f t="shared" si="79"/>
        <v>7.5161098698498861E-18</v>
      </c>
      <c r="P134" s="28">
        <f t="shared" si="79"/>
        <v>1.3838589062872067E-17</v>
      </c>
      <c r="Q134" s="28">
        <f t="shared" si="79"/>
        <v>5.1268536242330613E-18</v>
      </c>
      <c r="R134" s="28">
        <f t="shared" si="79"/>
        <v>6.4782163344924403E-18</v>
      </c>
      <c r="S134" s="28">
        <f t="shared" si="79"/>
        <v>6.9727666099608582E-18</v>
      </c>
      <c r="T134" s="28">
        <f t="shared" si="79"/>
        <v>6.8780531718909464E-18</v>
      </c>
      <c r="U134" s="28">
        <f t="shared" si="79"/>
        <v>6.3937813436338391E-18</v>
      </c>
      <c r="V134" s="28">
        <f t="shared" si="79"/>
        <v>4.3518424281763056E-18</v>
      </c>
      <c r="W134" s="28">
        <f t="shared" si="79"/>
        <v>5.559347752541949E-18</v>
      </c>
      <c r="X134" s="28">
        <f t="shared" si="79"/>
        <v>5.6544341270220734E-18</v>
      </c>
      <c r="Y134" s="28">
        <f t="shared" si="79"/>
        <v>6.4081575229544667E-18</v>
      </c>
      <c r="Z134" s="28">
        <f t="shared" si="79"/>
        <v>6.3754326250400644E-18</v>
      </c>
      <c r="AA134" s="28">
        <f t="shared" si="79"/>
        <v>1.3203125417894315E-15</v>
      </c>
      <c r="AB134" s="28">
        <f t="shared" si="79"/>
        <v>2.0151075849834574E-15</v>
      </c>
      <c r="AC134" s="28">
        <f t="shared" si="79"/>
        <v>6.8100200586892048E-16</v>
      </c>
      <c r="AD134" s="28">
        <f t="shared" si="79"/>
        <v>1.7389028792738249E-15</v>
      </c>
      <c r="AE134" s="28">
        <f t="shared" si="79"/>
        <v>1.7786982503474662E-15</v>
      </c>
      <c r="AF134" s="28">
        <f t="shared" si="79"/>
        <v>1.6124070385718873E-15</v>
      </c>
      <c r="AG134" s="28"/>
    </row>
    <row r="135" spans="1:33" x14ac:dyDescent="0.2">
      <c r="A135" s="27" t="s">
        <v>151</v>
      </c>
      <c r="B135" s="210"/>
      <c r="C135" s="77">
        <f t="shared" ref="C135:AF135" si="80">(C134/C133)*100</f>
        <v>0.24688653933220414</v>
      </c>
      <c r="D135" s="77">
        <f t="shared" si="80"/>
        <v>2.9246906873830625</v>
      </c>
      <c r="E135" s="77">
        <f t="shared" si="80"/>
        <v>2.1677431318333666</v>
      </c>
      <c r="F135" s="77">
        <f t="shared" si="80"/>
        <v>4.8527806507650482</v>
      </c>
      <c r="G135" s="77">
        <f t="shared" si="80"/>
        <v>2.8414241539227234</v>
      </c>
      <c r="H135" s="77">
        <f t="shared" si="80"/>
        <v>2.9443844999968838</v>
      </c>
      <c r="I135" s="77">
        <f t="shared" si="80"/>
        <v>1.5423208927134158</v>
      </c>
      <c r="J135" s="77">
        <f t="shared" si="80"/>
        <v>1.7938416287376384</v>
      </c>
      <c r="K135" s="77">
        <f t="shared" si="80"/>
        <v>3.1323455094845687E-2</v>
      </c>
      <c r="L135" s="77">
        <f t="shared" si="80"/>
        <v>3.3668462525460879E-2</v>
      </c>
      <c r="M135" s="77">
        <f t="shared" si="80"/>
        <v>3.5841395130261383E-2</v>
      </c>
      <c r="N135" s="77">
        <f t="shared" si="80"/>
        <v>3.2681764890008853E-2</v>
      </c>
      <c r="O135" s="77">
        <f t="shared" si="80"/>
        <v>3.8825048272819032E-2</v>
      </c>
      <c r="P135" s="77">
        <f t="shared" si="80"/>
        <v>3.4497552200141404E-2</v>
      </c>
      <c r="Q135" s="77">
        <f t="shared" si="80"/>
        <v>6.6036961383860032E-2</v>
      </c>
      <c r="R135" s="77">
        <f t="shared" si="80"/>
        <v>8.4454451858186577E-2</v>
      </c>
      <c r="S135" s="77">
        <f t="shared" si="80"/>
        <v>9.4250347339364049E-2</v>
      </c>
      <c r="T135" s="77">
        <f t="shared" si="80"/>
        <v>0.10482021113010999</v>
      </c>
      <c r="U135" s="77">
        <f t="shared" si="80"/>
        <v>0.17292091422936598</v>
      </c>
      <c r="V135" s="77">
        <f t="shared" si="80"/>
        <v>0.22773970559371287</v>
      </c>
      <c r="W135" s="77">
        <f t="shared" si="80"/>
        <v>0.33697738744340772</v>
      </c>
      <c r="X135" s="77">
        <f t="shared" si="80"/>
        <v>8.0572490533554905E-2</v>
      </c>
      <c r="Y135" s="77">
        <f t="shared" si="80"/>
        <v>0.13913943525658637</v>
      </c>
      <c r="Z135" s="77">
        <f t="shared" si="80"/>
        <v>0.15607240212656576</v>
      </c>
      <c r="AA135" s="77">
        <f t="shared" si="80"/>
        <v>2.4477998418600037E-2</v>
      </c>
      <c r="AB135" s="77">
        <f t="shared" si="80"/>
        <v>3.0348765808427144E-2</v>
      </c>
      <c r="AC135" s="77">
        <f t="shared" si="80"/>
        <v>2.1963127133885693E-2</v>
      </c>
      <c r="AD135" s="77">
        <f t="shared" si="80"/>
        <v>2.2872828822494393E-2</v>
      </c>
      <c r="AE135" s="77">
        <f t="shared" si="80"/>
        <v>2.6005318799727617E-2</v>
      </c>
      <c r="AF135" s="77">
        <f t="shared" si="80"/>
        <v>2.3120573204787543E-2</v>
      </c>
      <c r="AG135" s="19"/>
    </row>
    <row r="136" spans="1:33" x14ac:dyDescent="0.2">
      <c r="A136" s="198" t="s">
        <v>200</v>
      </c>
      <c r="B136" s="212"/>
      <c r="C136" s="79">
        <f>(C12*C16*(1+2*C222)-(C154*C162))*C172-C231-C187*((C14*C12*(1-C222)-C158)*C172-C231/C200)</f>
        <v>8.2419689378755789E-16</v>
      </c>
      <c r="D136" s="79">
        <f t="shared" ref="D136:AF136" si="81">(D12*D16*(1+2*D222)-(D154*D162))*D172-D231-D187*((D14*D12*(1-D222)-D158)*D172-D231/D200)</f>
        <v>1.8744434154535145E-17</v>
      </c>
      <c r="E136" s="79">
        <f t="shared" si="81"/>
        <v>9.0835538742992477E-17</v>
      </c>
      <c r="F136" s="79">
        <f t="shared" si="81"/>
        <v>1.4896374313295958E-16</v>
      </c>
      <c r="G136" s="79">
        <f t="shared" si="81"/>
        <v>1.4321863677236716E-16</v>
      </c>
      <c r="H136" s="79">
        <f t="shared" si="81"/>
        <v>1.0217037093048173E-16</v>
      </c>
      <c r="I136" s="79">
        <f t="shared" si="81"/>
        <v>1.4818255505068541E-16</v>
      </c>
      <c r="J136" s="79">
        <f t="shared" si="81"/>
        <v>1.5097842843732593E-16</v>
      </c>
      <c r="K136" s="79">
        <f t="shared" si="81"/>
        <v>3.4217043247823485E-15</v>
      </c>
      <c r="L136" s="79">
        <f t="shared" si="81"/>
        <v>2.4291846437036839E-15</v>
      </c>
      <c r="M136" s="79">
        <f t="shared" si="81"/>
        <v>2.2431639409855433E-15</v>
      </c>
      <c r="N136" s="79">
        <f t="shared" si="81"/>
        <v>3.4996373761502821E-15</v>
      </c>
      <c r="O136" s="79">
        <f t="shared" si="81"/>
        <v>9.1098309832817093E-16</v>
      </c>
      <c r="P136" s="79">
        <f t="shared" si="81"/>
        <v>1.8816318247760971E-15</v>
      </c>
      <c r="Q136" s="79">
        <f t="shared" si="81"/>
        <v>3.6023095262181769E-16</v>
      </c>
      <c r="R136" s="79">
        <f t="shared" si="81"/>
        <v>3.485979549899054E-16</v>
      </c>
      <c r="S136" s="79">
        <f t="shared" si="81"/>
        <v>3.3867855104692273E-16</v>
      </c>
      <c r="T136" s="79">
        <f t="shared" si="81"/>
        <v>3.02836609635209E-16</v>
      </c>
      <c r="U136" s="79">
        <f t="shared" si="81"/>
        <v>1.7181378344591817E-16</v>
      </c>
      <c r="V136" s="79">
        <f t="shared" si="81"/>
        <v>8.4910293730814192E-17</v>
      </c>
      <c r="W136" s="79">
        <f t="shared" si="81"/>
        <v>7.3658682190533159E-17</v>
      </c>
      <c r="X136" s="79">
        <f t="shared" si="81"/>
        <v>3.2882427357887685E-16</v>
      </c>
      <c r="Y136" s="79">
        <f t="shared" si="81"/>
        <v>2.160473227274262E-16</v>
      </c>
      <c r="Z136" s="79">
        <f t="shared" si="81"/>
        <v>1.8806395685624747E-16</v>
      </c>
      <c r="AA136" s="79">
        <f t="shared" si="81"/>
        <v>9.303666637293165E-13</v>
      </c>
      <c r="AB136" s="79">
        <f t="shared" si="81"/>
        <v>1.1462996518532996E-12</v>
      </c>
      <c r="AC136" s="79">
        <f t="shared" si="81"/>
        <v>5.3532746902467794E-13</v>
      </c>
      <c r="AD136" s="79">
        <f t="shared" si="81"/>
        <v>1.312834602806353E-12</v>
      </c>
      <c r="AE136" s="79">
        <f t="shared" si="81"/>
        <v>1.1796527591572869E-12</v>
      </c>
      <c r="AF136" s="79">
        <f t="shared" si="81"/>
        <v>1.2042556792801585E-12</v>
      </c>
      <c r="AG136" s="30"/>
    </row>
    <row r="137" spans="1:33" x14ac:dyDescent="0.2">
      <c r="A137" s="27" t="s">
        <v>152</v>
      </c>
      <c r="B137" s="64"/>
      <c r="C137" s="28">
        <f>SQRT(C468*C468+C470*C470+C472*C472+C474*C474+C476*C476+C478*C478+C480*C480+C482*C482+C484*C484+C486*C486+C488*C488+2*C490+2*C492+2*C494+2*C496)</f>
        <v>1.1595175609642417E-17</v>
      </c>
      <c r="D137" s="28">
        <f t="shared" ref="D137:AF137" si="82">SQRT(D468*D468+D470*D470+D472*D472+D474*D474+D476*D476+D478*D478+D480*D480+D482*D482+D484*D484+D486*D486+D488*D488+2*D490+2*D492+2*D494+2*D496)</f>
        <v>4.4989089792974212E-17</v>
      </c>
      <c r="E137" s="28">
        <f t="shared" si="82"/>
        <v>2.0179618403168468E-17</v>
      </c>
      <c r="F137" s="28">
        <f t="shared" si="82"/>
        <v>3.8734937803069563E-17</v>
      </c>
      <c r="G137" s="28">
        <f t="shared" si="82"/>
        <v>4.1463230990431596E-17</v>
      </c>
      <c r="H137" s="28">
        <f t="shared" si="82"/>
        <v>2.6320992565308243E-17</v>
      </c>
      <c r="I137" s="28">
        <f t="shared" si="82"/>
        <v>2.0311000483609917E-17</v>
      </c>
      <c r="J137" s="28">
        <f t="shared" si="82"/>
        <v>1.6564523373850336E-17</v>
      </c>
      <c r="K137" s="28">
        <f t="shared" si="82"/>
        <v>3.4368414990567664E-18</v>
      </c>
      <c r="L137" s="28">
        <f t="shared" si="82"/>
        <v>3.722147486811343E-18</v>
      </c>
      <c r="M137" s="28">
        <f t="shared" si="82"/>
        <v>3.4596675111920202E-18</v>
      </c>
      <c r="N137" s="28">
        <f t="shared" si="82"/>
        <v>4.4293594439938373E-18</v>
      </c>
      <c r="O137" s="28">
        <f t="shared" si="82"/>
        <v>2.546525495708977E-18</v>
      </c>
      <c r="P137" s="28">
        <f t="shared" si="82"/>
        <v>2.9091206149487734E-18</v>
      </c>
      <c r="Q137" s="28">
        <f t="shared" si="82"/>
        <v>2.2369105755011981E-18</v>
      </c>
      <c r="R137" s="28">
        <f t="shared" si="82"/>
        <v>3.8528518512573574E-18</v>
      </c>
      <c r="S137" s="28">
        <f t="shared" si="82"/>
        <v>4.0688369543451673E-18</v>
      </c>
      <c r="T137" s="28">
        <f t="shared" si="82"/>
        <v>4.3426204767506493E-18</v>
      </c>
      <c r="U137" s="28">
        <f t="shared" si="82"/>
        <v>4.3832655745977112E-18</v>
      </c>
      <c r="V137" s="28">
        <f t="shared" si="82"/>
        <v>3.6534261012073657E-18</v>
      </c>
      <c r="W137" s="28">
        <f t="shared" si="82"/>
        <v>5.8306306785426531E-18</v>
      </c>
      <c r="X137" s="28">
        <f t="shared" si="82"/>
        <v>3.1259974299270202E-18</v>
      </c>
      <c r="Y137" s="28">
        <f t="shared" si="82"/>
        <v>3.7780624973288697E-18</v>
      </c>
      <c r="Z137" s="28">
        <f t="shared" si="82"/>
        <v>4.0943931099044317E-18</v>
      </c>
      <c r="AA137" s="28">
        <f t="shared" si="82"/>
        <v>3.9523218252469831E-16</v>
      </c>
      <c r="AB137" s="28">
        <f t="shared" si="82"/>
        <v>5.2855118922899029E-16</v>
      </c>
      <c r="AC137" s="28">
        <f t="shared" si="82"/>
        <v>2.2022370463678584E-16</v>
      </c>
      <c r="AD137" s="28">
        <f t="shared" si="82"/>
        <v>5.4626463737298736E-16</v>
      </c>
      <c r="AE137" s="28">
        <f t="shared" si="82"/>
        <v>5.1139534413970916E-16</v>
      </c>
      <c r="AF137" s="28">
        <f t="shared" si="82"/>
        <v>5.0145233849757592E-16</v>
      </c>
      <c r="AG137" s="28"/>
    </row>
    <row r="138" spans="1:33" x14ac:dyDescent="0.2">
      <c r="A138" s="27" t="s">
        <v>153</v>
      </c>
      <c r="B138" s="210"/>
      <c r="C138" s="77">
        <f t="shared" ref="C138:AF138" si="83">(C137/C136)*100</f>
        <v>1.4068453420586597</v>
      </c>
      <c r="D138" s="77">
        <f t="shared" si="83"/>
        <v>240.01305892762451</v>
      </c>
      <c r="E138" s="77">
        <f t="shared" si="83"/>
        <v>22.215554266996879</v>
      </c>
      <c r="F138" s="77">
        <f t="shared" si="83"/>
        <v>26.00292996698947</v>
      </c>
      <c r="G138" s="77">
        <f t="shared" si="83"/>
        <v>28.951002414813921</v>
      </c>
      <c r="H138" s="77">
        <f t="shared" si="83"/>
        <v>25.761864546050685</v>
      </c>
      <c r="I138" s="77">
        <f t="shared" si="83"/>
        <v>13.706741982322143</v>
      </c>
      <c r="J138" s="77">
        <f t="shared" si="83"/>
        <v>10.971450388839218</v>
      </c>
      <c r="K138" s="77">
        <f t="shared" si="83"/>
        <v>0.1004423869755427</v>
      </c>
      <c r="L138" s="77">
        <f t="shared" si="83"/>
        <v>0.15322620684512187</v>
      </c>
      <c r="M138" s="77">
        <f t="shared" si="83"/>
        <v>0.15423159440018464</v>
      </c>
      <c r="N138" s="77">
        <f t="shared" si="83"/>
        <v>0.12656624009617479</v>
      </c>
      <c r="O138" s="77">
        <f t="shared" si="83"/>
        <v>0.27953597606611374</v>
      </c>
      <c r="P138" s="77">
        <f t="shared" si="83"/>
        <v>0.15460626125915689</v>
      </c>
      <c r="Q138" s="77">
        <f t="shared" si="83"/>
        <v>0.62096567749678644</v>
      </c>
      <c r="R138" s="77">
        <f t="shared" si="83"/>
        <v>1.1052422414150214</v>
      </c>
      <c r="S138" s="77">
        <f t="shared" si="83"/>
        <v>1.2013860759022335</v>
      </c>
      <c r="T138" s="77">
        <f t="shared" si="83"/>
        <v>1.433981341285548</v>
      </c>
      <c r="U138" s="77">
        <f t="shared" si="83"/>
        <v>2.5511722556167515</v>
      </c>
      <c r="V138" s="77">
        <f t="shared" si="83"/>
        <v>4.3026892743883263</v>
      </c>
      <c r="W138" s="77">
        <f t="shared" si="83"/>
        <v>7.9157412339533053</v>
      </c>
      <c r="X138" s="77">
        <f t="shared" si="83"/>
        <v>0.95065896319152676</v>
      </c>
      <c r="Y138" s="77">
        <f t="shared" si="83"/>
        <v>1.7487198867515807</v>
      </c>
      <c r="Z138" s="77">
        <f t="shared" si="83"/>
        <v>2.1771280251399308</v>
      </c>
      <c r="AA138" s="77">
        <f t="shared" si="83"/>
        <v>4.2481335363031482E-2</v>
      </c>
      <c r="AB138" s="77">
        <f t="shared" si="83"/>
        <v>4.6109338720852447E-2</v>
      </c>
      <c r="AC138" s="77">
        <f t="shared" si="83"/>
        <v>4.1138128973283415E-2</v>
      </c>
      <c r="AD138" s="77">
        <f t="shared" si="83"/>
        <v>4.1609555095918127E-2</v>
      </c>
      <c r="AE138" s="77">
        <f t="shared" si="83"/>
        <v>4.3351345569270457E-2</v>
      </c>
      <c r="AF138" s="77">
        <f t="shared" si="83"/>
        <v>4.1640022723190978E-2</v>
      </c>
      <c r="AG138" s="19"/>
    </row>
    <row r="139" spans="1:33" x14ac:dyDescent="0.2">
      <c r="A139" s="198" t="s">
        <v>445</v>
      </c>
      <c r="B139" s="210"/>
      <c r="C139" s="211">
        <f>C22*C172*(1+3*C222)-(C160*C172)-C232-C236</f>
        <v>3.4625271544687546E-16</v>
      </c>
      <c r="D139" s="211">
        <f t="shared" ref="D139:AF139" si="84">D22*D172*(1+3*D222)-(D160*D172)-D232-D236</f>
        <v>6.4314689423482699E-17</v>
      </c>
      <c r="E139" s="211">
        <f t="shared" si="84"/>
        <v>1.5257306169965947E-16</v>
      </c>
      <c r="F139" s="211">
        <f t="shared" si="84"/>
        <v>-1.0433519531801874E-16</v>
      </c>
      <c r="G139" s="211">
        <f t="shared" si="84"/>
        <v>3.5577855766714966E-16</v>
      </c>
      <c r="H139" s="211">
        <f t="shared" si="84"/>
        <v>2.6216558737462681E-16</v>
      </c>
      <c r="I139" s="211">
        <f t="shared" si="84"/>
        <v>2.1790138388454082E-16</v>
      </c>
      <c r="J139" s="211">
        <f t="shared" si="84"/>
        <v>3.4063728925534888E-16</v>
      </c>
      <c r="K139" s="211">
        <f t="shared" si="84"/>
        <v>1.403298847757624E-14</v>
      </c>
      <c r="L139" s="211">
        <f t="shared" si="84"/>
        <v>9.8313716420996858E-15</v>
      </c>
      <c r="M139" s="211">
        <f t="shared" si="84"/>
        <v>9.0406858763805434E-15</v>
      </c>
      <c r="N139" s="211">
        <f t="shared" si="84"/>
        <v>1.4857635448955845E-14</v>
      </c>
      <c r="O139" s="211">
        <f t="shared" si="84"/>
        <v>3.5668040410629423E-15</v>
      </c>
      <c r="P139" s="211">
        <f t="shared" si="84"/>
        <v>7.8005327199149348E-15</v>
      </c>
      <c r="Q139" s="211">
        <f t="shared" si="84"/>
        <v>1.299045210405434E-15</v>
      </c>
      <c r="R139" s="211">
        <f t="shared" si="84"/>
        <v>1.9040190084129664E-15</v>
      </c>
      <c r="S139" s="211">
        <f t="shared" si="84"/>
        <v>2.0760191504408462E-15</v>
      </c>
      <c r="T139" s="211">
        <f t="shared" si="84"/>
        <v>1.7650972839063318E-15</v>
      </c>
      <c r="U139" s="211">
        <f t="shared" si="84"/>
        <v>1.2851418531236747E-15</v>
      </c>
      <c r="V139" s="211">
        <f t="shared" si="84"/>
        <v>4.7612344430760466E-16</v>
      </c>
      <c r="W139" s="211">
        <f t="shared" si="84"/>
        <v>3.622606159275872E-16</v>
      </c>
      <c r="X139" s="211">
        <f t="shared" si="84"/>
        <v>1.3551617316076749E-15</v>
      </c>
      <c r="Y139" s="211">
        <f t="shared" si="84"/>
        <v>9.8824694149263073E-16</v>
      </c>
      <c r="Z139" s="211">
        <f t="shared" si="84"/>
        <v>6.0715742491047855E-16</v>
      </c>
      <c r="AA139" s="211">
        <f t="shared" si="84"/>
        <v>6.1957221896773533E-13</v>
      </c>
      <c r="AB139" s="211">
        <f t="shared" si="84"/>
        <v>6.2206934912455354E-13</v>
      </c>
      <c r="AC139" s="211">
        <f t="shared" si="84"/>
        <v>3.3544968610087935E-13</v>
      </c>
      <c r="AD139" s="211">
        <f t="shared" si="84"/>
        <v>9.8018524826102459E-13</v>
      </c>
      <c r="AE139" s="211">
        <f t="shared" si="84"/>
        <v>9.1230698147633654E-13</v>
      </c>
      <c r="AF139" s="211">
        <f t="shared" si="84"/>
        <v>7.7735314636403302E-13</v>
      </c>
      <c r="AG139" s="211"/>
    </row>
    <row r="140" spans="1:33" x14ac:dyDescent="0.2">
      <c r="A140" s="27" t="s">
        <v>496</v>
      </c>
      <c r="B140" s="210"/>
      <c r="C140" s="28">
        <f>SQRT(C624*C624+C626*C626+C628*C628+C630*C630+C632*C632+C634*C634+C636*C636+C638*C638+C640*C640+2*C642+2*C644+2*C646)</f>
        <v>9.0972083437522319E-17</v>
      </c>
      <c r="D140" s="28">
        <f t="shared" ref="D140:AF140" si="85">SQRT(D624*D624+D626*D626+D628*D628+D630*D630+D632*D632+D634*D634+D636*D636+D638*D638+D640*D640+2*D642+2*D644+2*D646)</f>
        <v>7.1785781071880433E-17</v>
      </c>
      <c r="E140" s="28">
        <f t="shared" si="85"/>
        <v>1.0159385158323033E-16</v>
      </c>
      <c r="F140" s="28">
        <f t="shared" si="85"/>
        <v>3.2126776072130991E-16</v>
      </c>
      <c r="G140" s="28">
        <f t="shared" si="85"/>
        <v>2.9195810421277303E-16</v>
      </c>
      <c r="H140" s="28">
        <f t="shared" si="85"/>
        <v>1.3763263191594395E-16</v>
      </c>
      <c r="I140" s="28">
        <f t="shared" si="85"/>
        <v>1.1230134466877072E-16</v>
      </c>
      <c r="J140" s="28">
        <f t="shared" si="85"/>
        <v>1.0819088001837474E-16</v>
      </c>
      <c r="K140" s="28">
        <f t="shared" si="85"/>
        <v>2.0001941919981293E-17</v>
      </c>
      <c r="L140" s="28">
        <f t="shared" si="85"/>
        <v>2.0209792203159974E-17</v>
      </c>
      <c r="M140" s="28">
        <f t="shared" si="85"/>
        <v>1.8190537222187842E-17</v>
      </c>
      <c r="N140" s="28">
        <f t="shared" si="85"/>
        <v>2.5248534419856701E-17</v>
      </c>
      <c r="O140" s="28">
        <f t="shared" si="85"/>
        <v>1.2226801055713844E-17</v>
      </c>
      <c r="P140" s="28">
        <f t="shared" si="85"/>
        <v>1.5764796295480298E-17</v>
      </c>
      <c r="Q140" s="28">
        <f t="shared" si="85"/>
        <v>9.8370586926110543E-18</v>
      </c>
      <c r="R140" s="28">
        <f t="shared" si="85"/>
        <v>1.7440003960030305E-17</v>
      </c>
      <c r="S140" s="28">
        <f t="shared" si="85"/>
        <v>1.8271326080136899E-17</v>
      </c>
      <c r="T140" s="28">
        <f t="shared" si="85"/>
        <v>1.8620365748506679E-17</v>
      </c>
      <c r="U140" s="28">
        <f t="shared" si="85"/>
        <v>1.6957939178329754E-17</v>
      </c>
      <c r="V140" s="28">
        <f t="shared" si="85"/>
        <v>1.1259464235286217E-17</v>
      </c>
      <c r="W140" s="28">
        <f t="shared" si="85"/>
        <v>1.430306927158874E-17</v>
      </c>
      <c r="X140" s="28">
        <f t="shared" si="85"/>
        <v>1.4057134458733621E-17</v>
      </c>
      <c r="Y140" s="28">
        <f t="shared" si="85"/>
        <v>1.6681604416410546E-17</v>
      </c>
      <c r="Z140" s="28">
        <f t="shared" si="85"/>
        <v>1.6294059190684185E-17</v>
      </c>
      <c r="AA140" s="28">
        <f t="shared" si="85"/>
        <v>3.9790293884942554E-16</v>
      </c>
      <c r="AB140" s="28">
        <f t="shared" si="85"/>
        <v>4.2229685831129813E-16</v>
      </c>
      <c r="AC140" s="28">
        <f t="shared" si="85"/>
        <v>2.2178774555829492E-16</v>
      </c>
      <c r="AD140" s="28">
        <f t="shared" si="85"/>
        <v>6.2278766782515824E-16</v>
      </c>
      <c r="AE140" s="28">
        <f t="shared" si="85"/>
        <v>5.899445296131543E-16</v>
      </c>
      <c r="AF140" s="28">
        <f t="shared" si="85"/>
        <v>5.1598555602307947E-16</v>
      </c>
      <c r="AG140" s="28"/>
    </row>
    <row r="141" spans="1:33" x14ac:dyDescent="0.2">
      <c r="A141" s="27" t="s">
        <v>497</v>
      </c>
      <c r="B141" s="210"/>
      <c r="C141" s="77">
        <f t="shared" ref="C141:AF141" si="86">(C140/C139)*100</f>
        <v>26.273319855445266</v>
      </c>
      <c r="D141" s="77">
        <f t="shared" si="86"/>
        <v>111.61646229713406</v>
      </c>
      <c r="E141" s="77">
        <f t="shared" si="86"/>
        <v>66.587017689412392</v>
      </c>
      <c r="F141" s="77">
        <f t="shared" si="86"/>
        <v>-307.9188760245957</v>
      </c>
      <c r="G141" s="77">
        <f t="shared" si="86"/>
        <v>82.061748219777712</v>
      </c>
      <c r="H141" s="77">
        <f t="shared" si="86"/>
        <v>52.498359259970698</v>
      </c>
      <c r="I141" s="77">
        <f t="shared" si="86"/>
        <v>51.537692265541423</v>
      </c>
      <c r="J141" s="77">
        <f t="shared" si="86"/>
        <v>31.761314286784554</v>
      </c>
      <c r="K141" s="77">
        <f t="shared" si="86"/>
        <v>0.14253515530168812</v>
      </c>
      <c r="L141" s="77">
        <f t="shared" si="86"/>
        <v>0.20556431939382741</v>
      </c>
      <c r="M141" s="77">
        <f t="shared" si="86"/>
        <v>0.2012074910125122</v>
      </c>
      <c r="N141" s="77">
        <f t="shared" si="86"/>
        <v>0.16993642431596409</v>
      </c>
      <c r="O141" s="77">
        <f t="shared" si="86"/>
        <v>0.34279430310587339</v>
      </c>
      <c r="P141" s="77">
        <f t="shared" si="86"/>
        <v>0.20209897017972145</v>
      </c>
      <c r="Q141" s="77">
        <f t="shared" si="86"/>
        <v>0.75725298964313126</v>
      </c>
      <c r="R141" s="77">
        <f t="shared" si="86"/>
        <v>0.91595745016048224</v>
      </c>
      <c r="S141" s="77">
        <f t="shared" si="86"/>
        <v>0.88011356139257924</v>
      </c>
      <c r="T141" s="77">
        <f t="shared" si="86"/>
        <v>1.0549200839116357</v>
      </c>
      <c r="U141" s="77">
        <f t="shared" si="86"/>
        <v>1.3195383168878727</v>
      </c>
      <c r="V141" s="77">
        <f t="shared" si="86"/>
        <v>2.3648203779715415</v>
      </c>
      <c r="W141" s="77">
        <f t="shared" si="86"/>
        <v>3.9482816079702685</v>
      </c>
      <c r="X141" s="77">
        <f t="shared" si="86"/>
        <v>1.0373030857399701</v>
      </c>
      <c r="Y141" s="77">
        <f t="shared" si="86"/>
        <v>1.6879995996967059</v>
      </c>
      <c r="Z141" s="77">
        <f t="shared" si="86"/>
        <v>2.6836630043825354</v>
      </c>
      <c r="AA141" s="77">
        <f t="shared" si="86"/>
        <v>6.4222204719309173E-2</v>
      </c>
      <c r="AB141" s="77">
        <f t="shared" si="86"/>
        <v>6.788581673499941E-2</v>
      </c>
      <c r="AC141" s="77">
        <f t="shared" si="86"/>
        <v>6.6116545863035031E-2</v>
      </c>
      <c r="AD141" s="77">
        <f t="shared" si="86"/>
        <v>6.3537751555643604E-2</v>
      </c>
      <c r="AE141" s="77">
        <f t="shared" si="86"/>
        <v>6.4665133731463861E-2</v>
      </c>
      <c r="AF141" s="77">
        <f t="shared" si="86"/>
        <v>6.6377239024056692E-2</v>
      </c>
      <c r="AG141" s="77"/>
    </row>
    <row r="142" spans="1:33" x14ac:dyDescent="0.2">
      <c r="A142" s="198" t="s">
        <v>148</v>
      </c>
      <c r="B142" s="210"/>
      <c r="C142" s="79">
        <f>IF('Raw Data Input'!$AT$54="magma",'Data Reduction Engine'!C713,'Data Reduction Engine'!C719)</f>
        <v>8.464635601214867E-14</v>
      </c>
      <c r="D142" s="79">
        <f>IF('Raw Data Input'!$AT$54="magma",'Data Reduction Engine'!D713,'Data Reduction Engine'!D719)</f>
        <v>1.453330241311387E-14</v>
      </c>
      <c r="E142" s="79">
        <f>IF('Raw Data Input'!$AT$54="magma",'Data Reduction Engine'!E713,'Data Reduction Engine'!E719)</f>
        <v>3.4365339049771755E-14</v>
      </c>
      <c r="F142" s="79">
        <f>IF('Raw Data Input'!$AT$54="magma",'Data Reduction Engine'!F713,'Data Reduction Engine'!F719)</f>
        <v>-2.7214382839649905E-14</v>
      </c>
      <c r="G142" s="79">
        <f>IF('Raw Data Input'!$AT$54="magma",'Data Reduction Engine'!G713,'Data Reduction Engine'!G719)</f>
        <v>7.7712139129434004E-14</v>
      </c>
      <c r="H142" s="79">
        <f>IF('Raw Data Input'!$AT$54="magma",'Data Reduction Engine'!H713,'Data Reduction Engine'!H719)</f>
        <v>5.5599183480037783E-14</v>
      </c>
      <c r="I142" s="79">
        <f>IF('Raw Data Input'!$AT$54="magma",'Data Reduction Engine'!I713,'Data Reduction Engine'!I719)</f>
        <v>5.0681018644103419E-14</v>
      </c>
      <c r="J142" s="79">
        <f>IF('Raw Data Input'!$AT$54="magma",'Data Reduction Engine'!J713,'Data Reduction Engine'!J719)</f>
        <v>7.6855902894471754E-14</v>
      </c>
      <c r="K142" s="79">
        <f>IF('Raw Data Input'!$AT$54="magma",'Data Reduction Engine'!K713,'Data Reduction Engine'!K719)</f>
        <v>6.3533907607960926E-12</v>
      </c>
      <c r="L142" s="79">
        <f>IF('Raw Data Input'!$AT$54="magma",'Data Reduction Engine'!L713,'Data Reduction Engine'!L719)</f>
        <v>4.4519199742317421E-12</v>
      </c>
      <c r="M142" s="79">
        <f>IF('Raw Data Input'!$AT$54="magma",'Data Reduction Engine'!M713,'Data Reduction Engine'!M719)</f>
        <v>4.094132545851198E-12</v>
      </c>
      <c r="N142" s="79">
        <f>IF('Raw Data Input'!$AT$54="magma",'Data Reduction Engine'!N713,'Data Reduction Engine'!N719)</f>
        <v>6.7284417675779816E-12</v>
      </c>
      <c r="O142" s="79">
        <f>IF('Raw Data Input'!$AT$54="magma",'Data Reduction Engine'!O713,'Data Reduction Engine'!O719)</f>
        <v>1.6160211790122134E-12</v>
      </c>
      <c r="P142" s="79">
        <f>IF('Raw Data Input'!$AT$54="magma",'Data Reduction Engine'!P713,'Data Reduction Engine'!P719)</f>
        <v>3.5334481688586268E-12</v>
      </c>
      <c r="Q142" s="79">
        <f>IF('Raw Data Input'!$AT$54="magma",'Data Reduction Engine'!Q713,'Data Reduction Engine'!Q719)</f>
        <v>5.8925107074783571E-13</v>
      </c>
      <c r="R142" s="79">
        <f>IF('Raw Data Input'!$AT$54="magma",'Data Reduction Engine'!R713,'Data Reduction Engine'!R719)</f>
        <v>1.3495291207404802E-12</v>
      </c>
      <c r="S142" s="79">
        <f>IF('Raw Data Input'!$AT$54="magma",'Data Reduction Engine'!S713,'Data Reduction Engine'!S719)</f>
        <v>1.4715315548228048E-12</v>
      </c>
      <c r="T142" s="79">
        <f>IF('Raw Data Input'!$AT$54="magma",'Data Reduction Engine'!T713,'Data Reduction Engine'!T719)</f>
        <v>1.257546827907533E-12</v>
      </c>
      <c r="U142" s="79">
        <f>IF('Raw Data Input'!$AT$54="magma",'Data Reduction Engine'!U713,'Data Reduction Engine'!U719)</f>
        <v>9.1573739339639402E-13</v>
      </c>
      <c r="V142" s="79">
        <f>IF('Raw Data Input'!$AT$54="magma",'Data Reduction Engine'!V713,'Data Reduction Engine'!V719)</f>
        <v>3.4049103849788389E-13</v>
      </c>
      <c r="W142" s="79">
        <f>IF('Raw Data Input'!$AT$54="magma",'Data Reduction Engine'!W713,'Data Reduction Engine'!W719)</f>
        <v>2.5906997248915183E-13</v>
      </c>
      <c r="X142" s="79">
        <f>IF('Raw Data Input'!$AT$54="magma",'Data Reduction Engine'!X713,'Data Reduction Engine'!X719)</f>
        <v>9.5773013012662176E-13</v>
      </c>
      <c r="Y142" s="79">
        <f>IF('Raw Data Input'!$AT$54="magma",'Data Reduction Engine'!Y713,'Data Reduction Engine'!Y719)</f>
        <v>7.018543317531461E-13</v>
      </c>
      <c r="Z142" s="79">
        <f>IF('Raw Data Input'!$AT$54="magma",'Data Reduction Engine'!Z713,'Data Reduction Engine'!Z719)</f>
        <v>4.3229839410508744E-13</v>
      </c>
      <c r="AA142" s="79">
        <f>IF('Raw Data Input'!$AT$54="magma",'Data Reduction Engine'!AA713,'Data Reduction Engine'!AA719)</f>
        <v>4.5646118192818326E-12</v>
      </c>
      <c r="AB142" s="79">
        <f>IF('Raw Data Input'!$AT$54="magma",'Data Reduction Engine'!AB713,'Data Reduction Engine'!AB719)</f>
        <v>4.572406569361882E-12</v>
      </c>
      <c r="AC142" s="79">
        <f>IF('Raw Data Input'!$AT$54="magma",'Data Reduction Engine'!AC713,'Data Reduction Engine'!AC719)</f>
        <v>2.4667170570422778E-12</v>
      </c>
      <c r="AD142" s="79">
        <f>IF('Raw Data Input'!$AT$54="magma",'Data Reduction Engine'!AD713,'Data Reduction Engine'!AD719)</f>
        <v>7.2050202423995427E-12</v>
      </c>
      <c r="AE142" s="79">
        <f>IF('Raw Data Input'!$AT$54="magma",'Data Reduction Engine'!AE713,'Data Reduction Engine'!AE719)</f>
        <v>6.7188045616296006E-12</v>
      </c>
      <c r="AF142" s="79">
        <f>IF('Raw Data Input'!$AT$54="magma",'Data Reduction Engine'!AF713,'Data Reduction Engine'!AF719)</f>
        <v>5.7146801493636236E-12</v>
      </c>
      <c r="AG142" s="211"/>
    </row>
    <row r="143" spans="1:33" x14ac:dyDescent="0.2">
      <c r="A143" s="27" t="s">
        <v>498</v>
      </c>
      <c r="B143" s="210"/>
      <c r="C143" s="28">
        <f>SQRT(C649*C649+C651*C651)</f>
        <v>2.2262631673232944E-14</v>
      </c>
      <c r="D143" s="28">
        <f t="shared" ref="D143:AF143" si="87">SQRT(D649*D649+D651*D651)</f>
        <v>1.6237203822840667E-14</v>
      </c>
      <c r="E143" s="28">
        <f t="shared" si="87"/>
        <v>2.2904852725136307E-14</v>
      </c>
      <c r="F143" s="28">
        <f t="shared" si="87"/>
        <v>8.3891647268493349E-14</v>
      </c>
      <c r="G143" s="28">
        <f t="shared" si="87"/>
        <v>6.3831373952196629E-14</v>
      </c>
      <c r="H143" s="28">
        <f t="shared" si="87"/>
        <v>2.9215062782153656E-14</v>
      </c>
      <c r="I143" s="28">
        <f t="shared" si="87"/>
        <v>2.6145765380343296E-14</v>
      </c>
      <c r="J143" s="28">
        <f t="shared" si="87"/>
        <v>2.4433952302137041E-14</v>
      </c>
      <c r="K143" s="28">
        <f t="shared" si="87"/>
        <v>9.0734151929127836E-15</v>
      </c>
      <c r="L143" s="28">
        <f t="shared" si="87"/>
        <v>9.1693480851714527E-15</v>
      </c>
      <c r="M143" s="28">
        <f t="shared" si="87"/>
        <v>8.2537150917200446E-15</v>
      </c>
      <c r="N143" s="28">
        <f t="shared" si="87"/>
        <v>1.1456300892062789E-14</v>
      </c>
      <c r="O143" s="28">
        <f t="shared" si="87"/>
        <v>5.5504025001880999E-15</v>
      </c>
      <c r="P143" s="28">
        <f t="shared" si="87"/>
        <v>7.1549479289752417E-15</v>
      </c>
      <c r="Q143" s="28">
        <f t="shared" si="87"/>
        <v>4.470809910721294E-15</v>
      </c>
      <c r="R143" s="28">
        <f t="shared" si="87"/>
        <v>1.2398827328965388E-14</v>
      </c>
      <c r="S143" s="28">
        <f t="shared" si="87"/>
        <v>1.2990666324303232E-14</v>
      </c>
      <c r="T143" s="28">
        <f t="shared" si="87"/>
        <v>1.3306801101916155E-14</v>
      </c>
      <c r="U143" s="28">
        <f t="shared" si="87"/>
        <v>1.2120571314976547E-14</v>
      </c>
      <c r="V143" s="28">
        <f t="shared" si="87"/>
        <v>8.0767903384199613E-15</v>
      </c>
      <c r="W143" s="28">
        <f t="shared" si="87"/>
        <v>1.0260303192727369E-14</v>
      </c>
      <c r="X143" s="28">
        <f t="shared" si="87"/>
        <v>9.9647871206053061E-15</v>
      </c>
      <c r="Y143" s="28">
        <f t="shared" si="87"/>
        <v>1.1883518393700198E-14</v>
      </c>
      <c r="Z143" s="28">
        <f t="shared" si="87"/>
        <v>1.163699104408981E-14</v>
      </c>
      <c r="AA143" s="28">
        <f t="shared" si="87"/>
        <v>2.9315651908083609E-15</v>
      </c>
      <c r="AB143" s="28">
        <f t="shared" si="87"/>
        <v>3.1040903390435656E-15</v>
      </c>
      <c r="AC143" s="28">
        <f t="shared" si="87"/>
        <v>1.6309474341531788E-15</v>
      </c>
      <c r="AD143" s="28">
        <f t="shared" si="87"/>
        <v>4.5780181780452844E-15</v>
      </c>
      <c r="AE143" s="28">
        <f t="shared" si="87"/>
        <v>4.3448289023356541E-15</v>
      </c>
      <c r="AF143" s="28">
        <f t="shared" si="87"/>
        <v>3.7933383228983646E-15</v>
      </c>
      <c r="AG143" s="28"/>
    </row>
    <row r="144" spans="1:33" x14ac:dyDescent="0.2">
      <c r="A144" s="27" t="s">
        <v>499</v>
      </c>
      <c r="B144" s="210"/>
      <c r="C144" s="77">
        <f t="shared" ref="C144:AF144" si="88">(C143/C142)*100</f>
        <v>26.300756136552117</v>
      </c>
      <c r="D144" s="77">
        <f t="shared" si="88"/>
        <v>111.72411721226767</v>
      </c>
      <c r="E144" s="77">
        <f t="shared" si="88"/>
        <v>66.651030830695191</v>
      </c>
      <c r="F144" s="77">
        <f t="shared" si="88"/>
        <v>-308.26217064260481</v>
      </c>
      <c r="G144" s="77">
        <f t="shared" si="88"/>
        <v>82.138227910419275</v>
      </c>
      <c r="H144" s="77">
        <f t="shared" si="88"/>
        <v>52.545848614203074</v>
      </c>
      <c r="I144" s="77">
        <f t="shared" si="88"/>
        <v>51.58887109974313</v>
      </c>
      <c r="J144" s="77">
        <f t="shared" si="88"/>
        <v>31.791900663357602</v>
      </c>
      <c r="K144" s="77">
        <f t="shared" si="88"/>
        <v>0.1428121696669554</v>
      </c>
      <c r="L144" s="77">
        <f t="shared" si="88"/>
        <v>0.20596390182763308</v>
      </c>
      <c r="M144" s="77">
        <f t="shared" si="88"/>
        <v>0.20159862924037406</v>
      </c>
      <c r="N144" s="77">
        <f t="shared" si="88"/>
        <v>0.17026677628788756</v>
      </c>
      <c r="O144" s="77">
        <f t="shared" si="88"/>
        <v>0.34346099990971418</v>
      </c>
      <c r="P144" s="77">
        <f t="shared" si="88"/>
        <v>0.20249194517791472</v>
      </c>
      <c r="Q144" s="77">
        <f t="shared" si="88"/>
        <v>0.7587274987972884</v>
      </c>
      <c r="R144" s="77">
        <f t="shared" si="88"/>
        <v>0.91875211423094083</v>
      </c>
      <c r="S144" s="77">
        <f t="shared" si="88"/>
        <v>0.88279903218708133</v>
      </c>
      <c r="T144" s="77">
        <f t="shared" si="88"/>
        <v>1.0581555141018255</v>
      </c>
      <c r="U144" s="77">
        <f t="shared" si="88"/>
        <v>1.3235859322094901</v>
      </c>
      <c r="V144" s="77">
        <f t="shared" si="88"/>
        <v>2.3721007090382376</v>
      </c>
      <c r="W144" s="77">
        <f t="shared" si="88"/>
        <v>3.9604370565010214</v>
      </c>
      <c r="X144" s="77">
        <f t="shared" si="88"/>
        <v>1.0404587688274836</v>
      </c>
      <c r="Y144" s="77">
        <f t="shared" si="88"/>
        <v>1.6931602265696111</v>
      </c>
      <c r="Z144" s="77">
        <f t="shared" si="88"/>
        <v>2.6918885665027417</v>
      </c>
      <c r="AA144" s="77">
        <f t="shared" si="88"/>
        <v>6.4223756737097418E-2</v>
      </c>
      <c r="AB144" s="77">
        <f t="shared" si="88"/>
        <v>6.7887452525394465E-2</v>
      </c>
      <c r="AC144" s="77">
        <f t="shared" si="88"/>
        <v>6.6118139877330312E-2</v>
      </c>
      <c r="AD144" s="77">
        <f t="shared" si="88"/>
        <v>6.3539282667173083E-2</v>
      </c>
      <c r="AE144" s="77">
        <f t="shared" si="88"/>
        <v>6.4666695726625589E-2</v>
      </c>
      <c r="AF144" s="77">
        <f t="shared" si="88"/>
        <v>6.6378838775793661E-2</v>
      </c>
      <c r="AG144" s="77"/>
    </row>
    <row r="145" spans="1:33" x14ac:dyDescent="0.2">
      <c r="A145" s="198" t="s">
        <v>366</v>
      </c>
      <c r="B145" s="210"/>
      <c r="C145" s="79">
        <f>IF('Raw Data Input'!$AT$54="magma",'Data Reduction Engine'!C681,'Data Reduction Engine'!C686)</f>
        <v>8.3599906877735006E-14</v>
      </c>
      <c r="D145" s="79">
        <f>IF('Raw Data Input'!$AT$54="magma",'Data Reduction Engine'!D681,'Data Reduction Engine'!D686)</f>
        <v>3.7989129280484698E-14</v>
      </c>
      <c r="E145" s="79">
        <f>IF('Raw Data Input'!$AT$54="magma",'Data Reduction Engine'!E681,'Data Reduction Engine'!E686)</f>
        <v>3.8072159111673761E-14</v>
      </c>
      <c r="F145" s="79">
        <f>IF('Raw Data Input'!$AT$54="magma",'Data Reduction Engine'!F681,'Data Reduction Engine'!F686)</f>
        <v>-2.6401988890077498E-14</v>
      </c>
      <c r="G145" s="79">
        <f>IF('Raw Data Input'!$AT$54="magma",'Data Reduction Engine'!G681,'Data Reduction Engine'!G686)</f>
        <v>1.1982973253083115E-13</v>
      </c>
      <c r="H145" s="79">
        <f>IF('Raw Data Input'!$AT$54="magma",'Data Reduction Engine'!H681,'Data Reduction Engine'!H686)</f>
        <v>5.5393066983299772E-14</v>
      </c>
      <c r="I145" s="79">
        <f>IF('Raw Data Input'!$AT$54="magma",'Data Reduction Engine'!I681,'Data Reduction Engine'!I686)</f>
        <v>5.3473359563245411E-14</v>
      </c>
      <c r="J145" s="79">
        <f>IF('Raw Data Input'!$AT$54="magma",'Data Reduction Engine'!J681,'Data Reduction Engine'!J686)</f>
        <v>6.7251539364340784E-14</v>
      </c>
      <c r="K145" s="79">
        <f>IF('Raw Data Input'!$AT$54="magma",'Data Reduction Engine'!K681,'Data Reduction Engine'!K686)</f>
        <v>6.3361805706989957E-12</v>
      </c>
      <c r="L145" s="79">
        <f>IF('Raw Data Input'!$AT$54="magma",'Data Reduction Engine'!L681,'Data Reduction Engine'!L686)</f>
        <v>4.4390992520950238E-12</v>
      </c>
      <c r="M145" s="79">
        <f>IF('Raw Data Input'!$AT$54="magma",'Data Reduction Engine'!M681,'Data Reduction Engine'!M686)</f>
        <v>4.0839001111486454E-12</v>
      </c>
      <c r="N145" s="79">
        <f>IF('Raw Data Input'!$AT$54="magma",'Data Reduction Engine'!N681,'Data Reduction Engine'!N686)</f>
        <v>6.7167060052230547E-12</v>
      </c>
      <c r="O145" s="79">
        <f>IF('Raw Data Input'!$AT$54="magma",'Data Reduction Engine'!O681,'Data Reduction Engine'!O686)</f>
        <v>1.6140779625038624E-12</v>
      </c>
      <c r="P145" s="79">
        <f>IF('Raw Data Input'!$AT$54="magma",'Data Reduction Engine'!P681,'Data Reduction Engine'!P686)</f>
        <v>3.540357152478862E-12</v>
      </c>
      <c r="Q145" s="79">
        <f>IF('Raw Data Input'!$AT$54="magma",'Data Reduction Engine'!Q681,'Data Reduction Engine'!Q686)</f>
        <v>5.9670105659844284E-13</v>
      </c>
      <c r="R145" s="79">
        <f>IF('Raw Data Input'!$AT$54="magma",'Data Reduction Engine'!R681,'Data Reduction Engine'!R686)</f>
        <v>1.3873693306344502E-12</v>
      </c>
      <c r="S145" s="79">
        <f>IF('Raw Data Input'!$AT$54="magma",'Data Reduction Engine'!S681,'Data Reduction Engine'!S686)</f>
        <v>1.5019190225101825E-12</v>
      </c>
      <c r="T145" s="79">
        <f>IF('Raw Data Input'!$AT$54="magma",'Data Reduction Engine'!T681,'Data Reduction Engine'!T686)</f>
        <v>1.2732264948682717E-12</v>
      </c>
      <c r="U145" s="79">
        <f>IF('Raw Data Input'!$AT$54="magma",'Data Reduction Engine'!U681,'Data Reduction Engine'!U686)</f>
        <v>9.2093838929172712E-13</v>
      </c>
      <c r="V145" s="79">
        <f>IF('Raw Data Input'!$AT$54="magma",'Data Reduction Engine'!V681,'Data Reduction Engine'!V686)</f>
        <v>3.5787090446606458E-13</v>
      </c>
      <c r="W145" s="79">
        <f>IF('Raw Data Input'!$AT$54="magma",'Data Reduction Engine'!W681,'Data Reduction Engine'!W686)</f>
        <v>2.71012108208928E-13</v>
      </c>
      <c r="X145" s="79">
        <f>IF('Raw Data Input'!$AT$54="magma",'Data Reduction Engine'!X681,'Data Reduction Engine'!X686)</f>
        <v>9.55361017508613E-13</v>
      </c>
      <c r="Y145" s="79">
        <f>IF('Raw Data Input'!$AT$54="magma",'Data Reduction Engine'!Y681,'Data Reduction Engine'!Y686)</f>
        <v>6.9928621806297216E-13</v>
      </c>
      <c r="Z145" s="79">
        <f>IF('Raw Data Input'!$AT$54="magma",'Data Reduction Engine'!Z681,'Data Reduction Engine'!Z686)</f>
        <v>4.3875235906534089E-13</v>
      </c>
      <c r="AA145" s="79">
        <f>IF('Raw Data Input'!$AT$54="magma",'Data Reduction Engine'!AA681,'Data Reduction Engine'!AA686)</f>
        <v>4.5548135048037049E-12</v>
      </c>
      <c r="AB145" s="79">
        <f>IF('Raw Data Input'!$AT$54="magma",'Data Reduction Engine'!AB681,'Data Reduction Engine'!AB686)</f>
        <v>4.5669393007948704E-12</v>
      </c>
      <c r="AC145" s="79">
        <f>IF('Raw Data Input'!$AT$54="magma",'Data Reduction Engine'!AC681,'Data Reduction Engine'!AC686)</f>
        <v>2.4631234692212121E-12</v>
      </c>
      <c r="AD145" s="79">
        <f>IF('Raw Data Input'!$AT$54="magma",'Data Reduction Engine'!AD681,'Data Reduction Engine'!AD686)</f>
        <v>7.1954834073644386E-12</v>
      </c>
      <c r="AE145" s="79">
        <f>IF('Raw Data Input'!$AT$54="magma",'Data Reduction Engine'!AE681,'Data Reduction Engine'!AE686)</f>
        <v>6.7060070355185336E-12</v>
      </c>
      <c r="AF145" s="79">
        <f>IF('Raw Data Input'!$AT$54="magma",'Data Reduction Engine'!AF681,'Data Reduction Engine'!AF686)</f>
        <v>5.7068341062418235E-12</v>
      </c>
      <c r="AG145" s="211"/>
    </row>
    <row r="146" spans="1:33" x14ac:dyDescent="0.2">
      <c r="A146" s="27" t="s">
        <v>498</v>
      </c>
      <c r="B146" s="210"/>
      <c r="C146" s="28">
        <f>SQRT(C649*C649+C653*C653)</f>
        <v>2.2262631673232972E-14</v>
      </c>
      <c r="D146" s="28">
        <f t="shared" ref="D146:AF146" si="89">SQRT(D649*D649+D653*D653)</f>
        <v>1.6237203823088631E-14</v>
      </c>
      <c r="E146" s="28">
        <f t="shared" si="89"/>
        <v>2.2904852725137743E-14</v>
      </c>
      <c r="F146" s="28">
        <f t="shared" si="89"/>
        <v>8.3891647268493602E-14</v>
      </c>
      <c r="G146" s="28">
        <f t="shared" si="89"/>
        <v>6.3831373952205502E-14</v>
      </c>
      <c r="H146" s="28">
        <f t="shared" si="89"/>
        <v>2.9215062782156799E-14</v>
      </c>
      <c r="I146" s="28">
        <f t="shared" si="89"/>
        <v>2.6145765380344237E-14</v>
      </c>
      <c r="J146" s="28">
        <f t="shared" si="89"/>
        <v>2.4433952302138016E-14</v>
      </c>
      <c r="K146" s="28">
        <f t="shared" si="89"/>
        <v>9.0734151929147053E-15</v>
      </c>
      <c r="L146" s="28">
        <f t="shared" si="89"/>
        <v>9.1693480851737499E-15</v>
      </c>
      <c r="M146" s="28">
        <f t="shared" si="89"/>
        <v>8.2537150917222203E-15</v>
      </c>
      <c r="N146" s="28">
        <f t="shared" si="89"/>
        <v>1.1456300892065602E-14</v>
      </c>
      <c r="O146" s="28">
        <f t="shared" si="89"/>
        <v>5.5504025001898228E-15</v>
      </c>
      <c r="P146" s="28">
        <f t="shared" si="89"/>
        <v>7.154947928977146E-15</v>
      </c>
      <c r="Q146" s="28">
        <f t="shared" si="89"/>
        <v>4.470809910722751E-15</v>
      </c>
      <c r="R146" s="28">
        <f t="shared" si="89"/>
        <v>1.2398827328974575E-14</v>
      </c>
      <c r="S146" s="28">
        <f t="shared" si="89"/>
        <v>1.2990666324315366E-14</v>
      </c>
      <c r="T146" s="28">
        <f t="shared" si="89"/>
        <v>1.3306801101928292E-14</v>
      </c>
      <c r="U146" s="28">
        <f t="shared" si="89"/>
        <v>1.2120571314998623E-14</v>
      </c>
      <c r="V146" s="28">
        <f t="shared" si="89"/>
        <v>8.0767903384342381E-15</v>
      </c>
      <c r="W146" s="28">
        <f t="shared" si="89"/>
        <v>1.0260303192749202E-14</v>
      </c>
      <c r="X146" s="28">
        <f t="shared" si="89"/>
        <v>9.9647871206093056E-15</v>
      </c>
      <c r="Y146" s="28">
        <f t="shared" si="89"/>
        <v>1.1883518393706284E-14</v>
      </c>
      <c r="Z146" s="28">
        <f t="shared" si="89"/>
        <v>1.1636991044093609E-14</v>
      </c>
      <c r="AA146" s="28">
        <f t="shared" si="89"/>
        <v>2.9315651908082374E-15</v>
      </c>
      <c r="AB146" s="28">
        <f t="shared" si="89"/>
        <v>3.1040903390433782E-15</v>
      </c>
      <c r="AC146" s="28">
        <f t="shared" si="89"/>
        <v>1.6309474341531265E-15</v>
      </c>
      <c r="AD146" s="28">
        <f t="shared" si="89"/>
        <v>4.5780181780451148E-15</v>
      </c>
      <c r="AE146" s="28">
        <f t="shared" si="89"/>
        <v>4.3448289023354324E-15</v>
      </c>
      <c r="AF146" s="28">
        <f t="shared" si="89"/>
        <v>3.7933383228982297E-15</v>
      </c>
      <c r="AG146" s="28"/>
    </row>
    <row r="147" spans="1:33" x14ac:dyDescent="0.2">
      <c r="A147" s="27" t="s">
        <v>499</v>
      </c>
      <c r="B147" s="210"/>
      <c r="C147" s="77">
        <f t="shared" ref="C147:AF147" si="90">(C146/C145)*100</f>
        <v>26.629971856059726</v>
      </c>
      <c r="D147" s="77">
        <f t="shared" si="90"/>
        <v>42.741710933158458</v>
      </c>
      <c r="E147" s="77">
        <f t="shared" si="90"/>
        <v>60.161685755601425</v>
      </c>
      <c r="F147" s="77">
        <f t="shared" si="90"/>
        <v>-317.74745310957275</v>
      </c>
      <c r="G147" s="77">
        <f t="shared" si="90"/>
        <v>53.268393915326683</v>
      </c>
      <c r="H147" s="77">
        <f t="shared" si="90"/>
        <v>52.741370668218693</v>
      </c>
      <c r="I147" s="77">
        <f t="shared" si="90"/>
        <v>48.894936831901184</v>
      </c>
      <c r="J147" s="77">
        <f t="shared" si="90"/>
        <v>36.3321829256057</v>
      </c>
      <c r="K147" s="77">
        <f t="shared" si="90"/>
        <v>0.14320007284631006</v>
      </c>
      <c r="L147" s="77">
        <f t="shared" si="90"/>
        <v>0.20655875357700765</v>
      </c>
      <c r="M147" s="77">
        <f t="shared" si="90"/>
        <v>0.20210374561293482</v>
      </c>
      <c r="N147" s="77">
        <f t="shared" si="90"/>
        <v>0.17056427485670708</v>
      </c>
      <c r="O147" s="77">
        <f t="shared" si="90"/>
        <v>0.34387449857624464</v>
      </c>
      <c r="P147" s="77">
        <f t="shared" si="90"/>
        <v>0.20209678348319873</v>
      </c>
      <c r="Q147" s="77">
        <f t="shared" si="90"/>
        <v>0.74925456579699612</v>
      </c>
      <c r="R147" s="77">
        <f t="shared" si="90"/>
        <v>0.89369334143378654</v>
      </c>
      <c r="S147" s="77">
        <f t="shared" si="90"/>
        <v>0.86493786479938484</v>
      </c>
      <c r="T147" s="77">
        <f t="shared" si="90"/>
        <v>1.0451244264521071</v>
      </c>
      <c r="U147" s="77">
        <f t="shared" si="90"/>
        <v>1.3161109859173403</v>
      </c>
      <c r="V147" s="77">
        <f t="shared" si="90"/>
        <v>2.2569005296713431</v>
      </c>
      <c r="W147" s="77">
        <f t="shared" si="90"/>
        <v>3.7859205850829936</v>
      </c>
      <c r="X147" s="77">
        <f t="shared" si="90"/>
        <v>1.0430389075948945</v>
      </c>
      <c r="Y147" s="77">
        <f t="shared" si="90"/>
        <v>1.6993783213150857</v>
      </c>
      <c r="Z147" s="77">
        <f t="shared" si="90"/>
        <v>2.6522913902693293</v>
      </c>
      <c r="AA147" s="77">
        <f t="shared" si="90"/>
        <v>6.436191487788645E-2</v>
      </c>
      <c r="AB147" s="77">
        <f t="shared" si="90"/>
        <v>6.7968723352708343E-2</v>
      </c>
      <c r="AC147" s="77">
        <f t="shared" si="90"/>
        <v>6.6214603308895337E-2</v>
      </c>
      <c r="AD147" s="77">
        <f t="shared" si="90"/>
        <v>6.3623497114309258E-2</v>
      </c>
      <c r="AE147" s="77">
        <f t="shared" si="90"/>
        <v>6.47901035492945E-2</v>
      </c>
      <c r="AF147" s="77">
        <f t="shared" si="90"/>
        <v>6.6470099748462699E-2</v>
      </c>
      <c r="AG147" s="77"/>
    </row>
    <row r="148" spans="1:33" x14ac:dyDescent="0.2">
      <c r="A148" s="31"/>
      <c r="B148" s="210"/>
      <c r="C148" s="77"/>
      <c r="D148" s="77"/>
      <c r="E148" s="77"/>
      <c r="F148" s="77"/>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c r="AE148" s="77"/>
      <c r="AF148" s="77"/>
      <c r="AG148" s="19"/>
    </row>
    <row r="149" spans="1:33" s="50" customFormat="1" ht="18" x14ac:dyDescent="0.2">
      <c r="A149" s="1" t="s">
        <v>464</v>
      </c>
      <c r="B149" s="23"/>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row>
    <row r="150" spans="1:33" s="261" customFormat="1" x14ac:dyDescent="0.2">
      <c r="A150" s="198" t="s">
        <v>256</v>
      </c>
      <c r="B150" s="62"/>
      <c r="C150" s="323">
        <f>IF(C$9=1,'Raw Data Input'!$AM79,IF(C$9=2,'Raw Data Input'!$AS79,IF(C$9=3,'Raw Data Input'!$AY79,IF(C$9=4,'Raw Data Input'!$BE79,IF(C$9=0,0)))))</f>
        <v>9.8526141239351208E-12</v>
      </c>
      <c r="D150" s="323">
        <f>IF(D$9=1,'Raw Data Input'!$AM79,IF(D$9=2,'Raw Data Input'!$AS79,IF(D$9=3,'Raw Data Input'!$AY79,IF(D$9=4,'Raw Data Input'!$BE79,IF(D$9=0,0)))))</f>
        <v>9.8526141239351208E-12</v>
      </c>
      <c r="E150" s="323">
        <f>IF(E$9=1,'Raw Data Input'!$AM79,IF(E$9=2,'Raw Data Input'!$AS79,IF(E$9=3,'Raw Data Input'!$AY79,IF(E$9=4,'Raw Data Input'!$BE79,IF(E$9=0,0)))))</f>
        <v>9.8526141239351208E-12</v>
      </c>
      <c r="F150" s="323">
        <f>IF(F$9=1,'Raw Data Input'!$AM79,IF(F$9=2,'Raw Data Input'!$AS79,IF(F$9=3,'Raw Data Input'!$AY79,IF(F$9=4,'Raw Data Input'!$BE79,IF(F$9=0,0)))))</f>
        <v>9.8526141239351208E-12</v>
      </c>
      <c r="G150" s="323">
        <f>IF(G$9=1,'Raw Data Input'!$AM79,IF(G$9=2,'Raw Data Input'!$AS79,IF(G$9=3,'Raw Data Input'!$AY79,IF(G$9=4,'Raw Data Input'!$BE79,IF(G$9=0,0)))))</f>
        <v>9.8526141239351208E-12</v>
      </c>
      <c r="H150" s="323">
        <f>IF(H$9=1,'Raw Data Input'!$AM79,IF(H$9=2,'Raw Data Input'!$AS79,IF(H$9=3,'Raw Data Input'!$AY79,IF(H$9=4,'Raw Data Input'!$BE79,IF(H$9=0,0)))))</f>
        <v>9.8526141239351208E-12</v>
      </c>
      <c r="I150" s="323">
        <f>IF(I$9=1,'Raw Data Input'!$AM79,IF(I$9=2,'Raw Data Input'!$AS79,IF(I$9=3,'Raw Data Input'!$AY79,IF(I$9=4,'Raw Data Input'!$BE79,IF(I$9=0,0)))))</f>
        <v>9.8526141239351208E-12</v>
      </c>
      <c r="J150" s="323">
        <f>IF(J$9=1,'Raw Data Input'!$AM79,IF(J$9=2,'Raw Data Input'!$AS79,IF(J$9=3,'Raw Data Input'!$AY79,IF(J$9=4,'Raw Data Input'!$BE79,IF(J$9=0,0)))))</f>
        <v>9.8526141239351208E-12</v>
      </c>
      <c r="K150" s="323">
        <f>IF(K$9=1,'Raw Data Input'!$AM79,IF(K$9=2,'Raw Data Input'!$AS79,IF(K$9=3,'Raw Data Input'!$AY79,IF(K$9=4,'Raw Data Input'!$BE79,IF(K$9=0,0)))))</f>
        <v>9.9767636800000007E-12</v>
      </c>
      <c r="L150" s="323">
        <f>IF(L$9=1,'Raw Data Input'!$AM79,IF(L$9=2,'Raw Data Input'!$AS79,IF(L$9=3,'Raw Data Input'!$AY79,IF(L$9=4,'Raw Data Input'!$BE79,IF(L$9=0,0)))))</f>
        <v>9.9767636800000007E-12</v>
      </c>
      <c r="M150" s="323">
        <f>IF(M$9=1,'Raw Data Input'!$AM79,IF(M$9=2,'Raw Data Input'!$AS79,IF(M$9=3,'Raw Data Input'!$AY79,IF(M$9=4,'Raw Data Input'!$BE79,IF(M$9=0,0)))))</f>
        <v>9.9767636800000007E-12</v>
      </c>
      <c r="N150" s="323">
        <f>IF(N$9=1,'Raw Data Input'!$AM79,IF(N$9=2,'Raw Data Input'!$AS79,IF(N$9=3,'Raw Data Input'!$AY79,IF(N$9=4,'Raw Data Input'!$BE79,IF(N$9=0,0)))))</f>
        <v>9.9767636800000007E-12</v>
      </c>
      <c r="O150" s="323">
        <f>IF(O$9=1,'Raw Data Input'!$AM79,IF(O$9=2,'Raw Data Input'!$AS79,IF(O$9=3,'Raw Data Input'!$AY79,IF(O$9=4,'Raw Data Input'!$BE79,IF(O$9=0,0)))))</f>
        <v>9.9767636800000007E-12</v>
      </c>
      <c r="P150" s="323">
        <f>IF(P$9=1,'Raw Data Input'!$AM79,IF(P$9=2,'Raw Data Input'!$AS79,IF(P$9=3,'Raw Data Input'!$AY79,IF(P$9=4,'Raw Data Input'!$BE79,IF(P$9=0,0)))))</f>
        <v>9.9767636800000007E-12</v>
      </c>
      <c r="Q150" s="323">
        <f>IF(Q$9=1,'Raw Data Input'!$AM79,IF(Q$9=2,'Raw Data Input'!$AS79,IF(Q$9=3,'Raw Data Input'!$AY79,IF(Q$9=4,'Raw Data Input'!$BE79,IF(Q$9=0,0)))))</f>
        <v>9.9767636800000007E-12</v>
      </c>
      <c r="R150" s="323">
        <f>IF(R$9=1,'Raw Data Input'!$AM79,IF(R$9=2,'Raw Data Input'!$AS79,IF(R$9=3,'Raw Data Input'!$AY79,IF(R$9=4,'Raw Data Input'!$BE79,IF(R$9=0,0)))))</f>
        <v>9.9767636800000007E-12</v>
      </c>
      <c r="S150" s="323">
        <f>IF(S$9=1,'Raw Data Input'!$AM79,IF(S$9=2,'Raw Data Input'!$AS79,IF(S$9=3,'Raw Data Input'!$AY79,IF(S$9=4,'Raw Data Input'!$BE79,IF(S$9=0,0)))))</f>
        <v>9.9767636800000007E-12</v>
      </c>
      <c r="T150" s="323">
        <f>IF(T$9=1,'Raw Data Input'!$AM79,IF(T$9=2,'Raw Data Input'!$AS79,IF(T$9=3,'Raw Data Input'!$AY79,IF(T$9=4,'Raw Data Input'!$BE79,IF(T$9=0,0)))))</f>
        <v>9.9767636800000007E-12</v>
      </c>
      <c r="U150" s="323">
        <f>IF(U$9=1,'Raw Data Input'!$AM79,IF(U$9=2,'Raw Data Input'!$AS79,IF(U$9=3,'Raw Data Input'!$AY79,IF(U$9=4,'Raw Data Input'!$BE79,IF(U$9=0,0)))))</f>
        <v>9.9767636800000007E-12</v>
      </c>
      <c r="V150" s="323">
        <f>IF(V$9=1,'Raw Data Input'!$AM79,IF(V$9=2,'Raw Data Input'!$AS79,IF(V$9=3,'Raw Data Input'!$AY79,IF(V$9=4,'Raw Data Input'!$BE79,IF(V$9=0,0)))))</f>
        <v>9.9767636800000007E-12</v>
      </c>
      <c r="W150" s="323">
        <f>IF(W$9=1,'Raw Data Input'!$AM79,IF(W$9=2,'Raw Data Input'!$AS79,IF(W$9=3,'Raw Data Input'!$AY79,IF(W$9=4,'Raw Data Input'!$BE79,IF(W$9=0,0)))))</f>
        <v>9.9767636800000007E-12</v>
      </c>
      <c r="X150" s="323">
        <f>IF(X$9=1,'Raw Data Input'!$AM79,IF(X$9=2,'Raw Data Input'!$AS79,IF(X$9=3,'Raw Data Input'!$AY79,IF(X$9=4,'Raw Data Input'!$BE79,IF(X$9=0,0)))))</f>
        <v>9.9767636800000007E-12</v>
      </c>
      <c r="Y150" s="323">
        <f>IF(Y$9=1,'Raw Data Input'!$AM79,IF(Y$9=2,'Raw Data Input'!$AS79,IF(Y$9=3,'Raw Data Input'!$AY79,IF(Y$9=4,'Raw Data Input'!$BE79,IF(Y$9=0,0)))))</f>
        <v>9.9767636800000007E-12</v>
      </c>
      <c r="Z150" s="323">
        <f>IF(Z$9=1,'Raw Data Input'!$AM79,IF(Z$9=2,'Raw Data Input'!$AS79,IF(Z$9=3,'Raw Data Input'!$AY79,IF(Z$9=4,'Raw Data Input'!$BE79,IF(Z$9=0,0)))))</f>
        <v>9.9767636800000007E-12</v>
      </c>
      <c r="AA150" s="323">
        <f>IF(AA$9=1,'Raw Data Input'!$AM79,IF(AA$9=2,'Raw Data Input'!$AS79,IF(AA$9=3,'Raw Data Input'!$AY79,IF(AA$9=4,'Raw Data Input'!$BE79,IF(AA$9=0,0)))))</f>
        <v>9.8526141239351208E-12</v>
      </c>
      <c r="AB150" s="323">
        <f>IF(AB$9=1,'Raw Data Input'!$AM79,IF(AB$9=2,'Raw Data Input'!$AS79,IF(AB$9=3,'Raw Data Input'!$AY79,IF(AB$9=4,'Raw Data Input'!$BE79,IF(AB$9=0,0)))))</f>
        <v>9.8526141239351208E-12</v>
      </c>
      <c r="AC150" s="323">
        <f>IF(AC$9=1,'Raw Data Input'!$AM79,IF(AC$9=2,'Raw Data Input'!$AS79,IF(AC$9=3,'Raw Data Input'!$AY79,IF(AC$9=4,'Raw Data Input'!$BE79,IF(AC$9=0,0)))))</f>
        <v>9.8526141239351208E-12</v>
      </c>
      <c r="AD150" s="323">
        <f>IF(AD$9=1,'Raw Data Input'!$AM79,IF(AD$9=2,'Raw Data Input'!$AS79,IF(AD$9=3,'Raw Data Input'!$AY79,IF(AD$9=4,'Raw Data Input'!$BE79,IF(AD$9=0,0)))))</f>
        <v>9.8526141239351208E-12</v>
      </c>
      <c r="AE150" s="323">
        <f>IF(AE$9=1,'Raw Data Input'!$AM79,IF(AE$9=2,'Raw Data Input'!$AS79,IF(AE$9=3,'Raw Data Input'!$AY79,IF(AE$9=4,'Raw Data Input'!$BE79,IF(AE$9=0,0)))))</f>
        <v>9.8526141239351208E-12</v>
      </c>
      <c r="AF150" s="323">
        <f>IF(AF$9=1,'Raw Data Input'!$AM79,IF(AF$9=2,'Raw Data Input'!$AS79,IF(AF$9=3,'Raw Data Input'!$AY79,IF(AF$9=4,'Raw Data Input'!$BE79,IF(AF$9=0,0)))))</f>
        <v>9.8526141239351208E-12</v>
      </c>
      <c r="AG150" s="323"/>
    </row>
    <row r="151" spans="1:33" s="261" customFormat="1" x14ac:dyDescent="0.2">
      <c r="A151" s="198" t="s">
        <v>507</v>
      </c>
      <c r="B151" s="62"/>
      <c r="C151" s="323">
        <f>IF(C$9=1,'Raw Data Input'!$AM80,IF(C$9=2,'Raw Data Input'!$AS80,IF(C$9=3,'Raw Data Input'!$AY80,IF(C$9=4,'Raw Data Input'!$BE80,IF(C$9=0,0)))))</f>
        <v>7.6781230364494797E-10</v>
      </c>
      <c r="D151" s="323">
        <f>IF(D$9=1,'Raw Data Input'!$AM80,IF(D$9=2,'Raw Data Input'!$AS80,IF(D$9=3,'Raw Data Input'!$AY80,IF(D$9=4,'Raw Data Input'!$BE80,IF(D$9=0,0)))))</f>
        <v>7.6781230364494797E-10</v>
      </c>
      <c r="E151" s="323">
        <f>IF(E$9=1,'Raw Data Input'!$AM80,IF(E$9=2,'Raw Data Input'!$AS80,IF(E$9=3,'Raw Data Input'!$AY80,IF(E$9=4,'Raw Data Input'!$BE80,IF(E$9=0,0)))))</f>
        <v>7.6781230364494797E-10</v>
      </c>
      <c r="F151" s="323">
        <f>IF(F$9=1,'Raw Data Input'!$AM80,IF(F$9=2,'Raw Data Input'!$AS80,IF(F$9=3,'Raw Data Input'!$AY80,IF(F$9=4,'Raw Data Input'!$BE80,IF(F$9=0,0)))))</f>
        <v>7.6781230364494797E-10</v>
      </c>
      <c r="G151" s="323">
        <f>IF(G$9=1,'Raw Data Input'!$AM80,IF(G$9=2,'Raw Data Input'!$AS80,IF(G$9=3,'Raw Data Input'!$AY80,IF(G$9=4,'Raw Data Input'!$BE80,IF(G$9=0,0)))))</f>
        <v>7.6781230364494797E-10</v>
      </c>
      <c r="H151" s="323">
        <f>IF(H$9=1,'Raw Data Input'!$AM80,IF(H$9=2,'Raw Data Input'!$AS80,IF(H$9=3,'Raw Data Input'!$AY80,IF(H$9=4,'Raw Data Input'!$BE80,IF(H$9=0,0)))))</f>
        <v>7.6781230364494797E-10</v>
      </c>
      <c r="I151" s="323">
        <f>IF(I$9=1,'Raw Data Input'!$AM80,IF(I$9=2,'Raw Data Input'!$AS80,IF(I$9=3,'Raw Data Input'!$AY80,IF(I$9=4,'Raw Data Input'!$BE80,IF(I$9=0,0)))))</f>
        <v>7.6781230364494797E-10</v>
      </c>
      <c r="J151" s="323">
        <f>IF(J$9=1,'Raw Data Input'!$AM80,IF(J$9=2,'Raw Data Input'!$AS80,IF(J$9=3,'Raw Data Input'!$AY80,IF(J$9=4,'Raw Data Input'!$BE80,IF(J$9=0,0)))))</f>
        <v>7.6781230364494797E-10</v>
      </c>
      <c r="K151" s="323">
        <f>IF(K$9=1,'Raw Data Input'!$AM80,IF(K$9=2,'Raw Data Input'!$AS80,IF(K$9=3,'Raw Data Input'!$AY80,IF(K$9=4,'Raw Data Input'!$BE80,IF(K$9=0,0)))))</f>
        <v>1.0000000002845095E-9</v>
      </c>
      <c r="L151" s="323">
        <f>IF(L$9=1,'Raw Data Input'!$AM80,IF(L$9=2,'Raw Data Input'!$AS80,IF(L$9=3,'Raw Data Input'!$AY80,IF(L$9=4,'Raw Data Input'!$BE80,IF(L$9=0,0)))))</f>
        <v>1.0000000002845095E-9</v>
      </c>
      <c r="M151" s="323">
        <f>IF(M$9=1,'Raw Data Input'!$AM80,IF(M$9=2,'Raw Data Input'!$AS80,IF(M$9=3,'Raw Data Input'!$AY80,IF(M$9=4,'Raw Data Input'!$BE80,IF(M$9=0,0)))))</f>
        <v>1.0000000002845095E-9</v>
      </c>
      <c r="N151" s="323">
        <f>IF(N$9=1,'Raw Data Input'!$AM80,IF(N$9=2,'Raw Data Input'!$AS80,IF(N$9=3,'Raw Data Input'!$AY80,IF(N$9=4,'Raw Data Input'!$BE80,IF(N$9=0,0)))))</f>
        <v>1.0000000002845095E-9</v>
      </c>
      <c r="O151" s="323">
        <f>IF(O$9=1,'Raw Data Input'!$AM80,IF(O$9=2,'Raw Data Input'!$AS80,IF(O$9=3,'Raw Data Input'!$AY80,IF(O$9=4,'Raw Data Input'!$BE80,IF(O$9=0,0)))))</f>
        <v>1.0000000002845095E-9</v>
      </c>
      <c r="P151" s="323">
        <f>IF(P$9=1,'Raw Data Input'!$AM80,IF(P$9=2,'Raw Data Input'!$AS80,IF(P$9=3,'Raw Data Input'!$AY80,IF(P$9=4,'Raw Data Input'!$BE80,IF(P$9=0,0)))))</f>
        <v>1.0000000002845095E-9</v>
      </c>
      <c r="Q151" s="323">
        <f>IF(Q$9=1,'Raw Data Input'!$AM80,IF(Q$9=2,'Raw Data Input'!$AS80,IF(Q$9=3,'Raw Data Input'!$AY80,IF(Q$9=4,'Raw Data Input'!$BE80,IF(Q$9=0,0)))))</f>
        <v>1.0000000002845095E-9</v>
      </c>
      <c r="R151" s="323">
        <f>IF(R$9=1,'Raw Data Input'!$AM80,IF(R$9=2,'Raw Data Input'!$AS80,IF(R$9=3,'Raw Data Input'!$AY80,IF(R$9=4,'Raw Data Input'!$BE80,IF(R$9=0,0)))))</f>
        <v>1.0000000000000001E-9</v>
      </c>
      <c r="S151" s="323">
        <f>IF(S$9=1,'Raw Data Input'!$AM80,IF(S$9=2,'Raw Data Input'!$AS80,IF(S$9=3,'Raw Data Input'!$AY80,IF(S$9=4,'Raw Data Input'!$BE80,IF(S$9=0,0)))))</f>
        <v>1.0000000000000001E-9</v>
      </c>
      <c r="T151" s="323">
        <f>IF(T$9=1,'Raw Data Input'!$AM80,IF(T$9=2,'Raw Data Input'!$AS80,IF(T$9=3,'Raw Data Input'!$AY80,IF(T$9=4,'Raw Data Input'!$BE80,IF(T$9=0,0)))))</f>
        <v>1.0000000000000001E-9</v>
      </c>
      <c r="U151" s="323">
        <f>IF(U$9=1,'Raw Data Input'!$AM80,IF(U$9=2,'Raw Data Input'!$AS80,IF(U$9=3,'Raw Data Input'!$AY80,IF(U$9=4,'Raw Data Input'!$BE80,IF(U$9=0,0)))))</f>
        <v>1.0000000000000001E-9</v>
      </c>
      <c r="V151" s="323">
        <f>IF(V$9=1,'Raw Data Input'!$AM80,IF(V$9=2,'Raw Data Input'!$AS80,IF(V$9=3,'Raw Data Input'!$AY80,IF(V$9=4,'Raw Data Input'!$BE80,IF(V$9=0,0)))))</f>
        <v>1.0000000000000001E-9</v>
      </c>
      <c r="W151" s="323">
        <f>IF(W$9=1,'Raw Data Input'!$AM80,IF(W$9=2,'Raw Data Input'!$AS80,IF(W$9=3,'Raw Data Input'!$AY80,IF(W$9=4,'Raw Data Input'!$BE80,IF(W$9=0,0)))))</f>
        <v>1.0000000000000001E-9</v>
      </c>
      <c r="X151" s="323">
        <f>IF(X$9=1,'Raw Data Input'!$AM80,IF(X$9=2,'Raw Data Input'!$AS80,IF(X$9=3,'Raw Data Input'!$AY80,IF(X$9=4,'Raw Data Input'!$BE80,IF(X$9=0,0)))))</f>
        <v>1.0000000000000001E-9</v>
      </c>
      <c r="Y151" s="323">
        <f>IF(Y$9=1,'Raw Data Input'!$AM80,IF(Y$9=2,'Raw Data Input'!$AS80,IF(Y$9=3,'Raw Data Input'!$AY80,IF(Y$9=4,'Raw Data Input'!$BE80,IF(Y$9=0,0)))))</f>
        <v>1.0000000000000001E-9</v>
      </c>
      <c r="Z151" s="323">
        <f>IF(Z$9=1,'Raw Data Input'!$AM80,IF(Z$9=2,'Raw Data Input'!$AS80,IF(Z$9=3,'Raw Data Input'!$AY80,IF(Z$9=4,'Raw Data Input'!$BE80,IF(Z$9=0,0)))))</f>
        <v>1.0000000000000001E-9</v>
      </c>
      <c r="AA151" s="323">
        <f>IF(AA$9=1,'Raw Data Input'!$AM80,IF(AA$9=2,'Raw Data Input'!$AS80,IF(AA$9=3,'Raw Data Input'!$AY80,IF(AA$9=4,'Raw Data Input'!$BE80,IF(AA$9=0,0)))))</f>
        <v>7.6781230364494797E-10</v>
      </c>
      <c r="AB151" s="323">
        <f>IF(AB$9=1,'Raw Data Input'!$AM80,IF(AB$9=2,'Raw Data Input'!$AS80,IF(AB$9=3,'Raw Data Input'!$AY80,IF(AB$9=4,'Raw Data Input'!$BE80,IF(AB$9=0,0)))))</f>
        <v>7.6781230364494797E-10</v>
      </c>
      <c r="AC151" s="323">
        <f>IF(AC$9=1,'Raw Data Input'!$AM80,IF(AC$9=2,'Raw Data Input'!$AS80,IF(AC$9=3,'Raw Data Input'!$AY80,IF(AC$9=4,'Raw Data Input'!$BE80,IF(AC$9=0,0)))))</f>
        <v>7.6781230364494797E-10</v>
      </c>
      <c r="AD151" s="323">
        <f>IF(AD$9=1,'Raw Data Input'!$AM80,IF(AD$9=2,'Raw Data Input'!$AS80,IF(AD$9=3,'Raw Data Input'!$AY80,IF(AD$9=4,'Raw Data Input'!$BE80,IF(AD$9=0,0)))))</f>
        <v>7.6781230364494797E-10</v>
      </c>
      <c r="AE151" s="323">
        <f>IF(AE$9=1,'Raw Data Input'!$AM80,IF(AE$9=2,'Raw Data Input'!$AS80,IF(AE$9=3,'Raw Data Input'!$AY80,IF(AE$9=4,'Raw Data Input'!$BE80,IF(AE$9=0,0)))))</f>
        <v>7.6781230364494797E-10</v>
      </c>
      <c r="AF151" s="323">
        <f>IF(AF$9=1,'Raw Data Input'!$AM80,IF(AF$9=2,'Raw Data Input'!$AS80,IF(AF$9=3,'Raw Data Input'!$AY80,IF(AF$9=4,'Raw Data Input'!$BE80,IF(AF$9=0,0)))))</f>
        <v>7.6781230364494797E-10</v>
      </c>
      <c r="AG151" s="323"/>
    </row>
    <row r="152" spans="1:33" s="261" customFormat="1" x14ac:dyDescent="0.2">
      <c r="A152" s="198" t="s">
        <v>74</v>
      </c>
      <c r="B152" s="62"/>
      <c r="C152" s="323">
        <f>IF(C$9=1,'Raw Data Input'!$AM81,IF(C$9=2,'Raw Data Input'!$AS81,IF(C$9=3,'Raw Data Input'!$AY81,IF(C$9=4,'Raw Data Input'!$BE81,IF(C$9=0,0)))))</f>
        <v>0</v>
      </c>
      <c r="D152" s="323">
        <f>IF(D$9=1,'Raw Data Input'!$AM81,IF(D$9=2,'Raw Data Input'!$AS81,IF(D$9=3,'Raw Data Input'!$AY81,IF(D$9=4,'Raw Data Input'!$BE81,IF(D$9=0,0)))))</f>
        <v>0</v>
      </c>
      <c r="E152" s="323">
        <f>IF(E$9=1,'Raw Data Input'!$AM81,IF(E$9=2,'Raw Data Input'!$AS81,IF(E$9=3,'Raw Data Input'!$AY81,IF(E$9=4,'Raw Data Input'!$BE81,IF(E$9=0,0)))))</f>
        <v>0</v>
      </c>
      <c r="F152" s="323">
        <f>IF(F$9=1,'Raw Data Input'!$AM81,IF(F$9=2,'Raw Data Input'!$AS81,IF(F$9=3,'Raw Data Input'!$AY81,IF(F$9=4,'Raw Data Input'!$BE81,IF(F$9=0,0)))))</f>
        <v>0</v>
      </c>
      <c r="G152" s="323">
        <f>IF(G$9=1,'Raw Data Input'!$AM81,IF(G$9=2,'Raw Data Input'!$AS81,IF(G$9=3,'Raw Data Input'!$AY81,IF(G$9=4,'Raw Data Input'!$BE81,IF(G$9=0,0)))))</f>
        <v>0</v>
      </c>
      <c r="H152" s="323">
        <f>IF(H$9=1,'Raw Data Input'!$AM81,IF(H$9=2,'Raw Data Input'!$AS81,IF(H$9=3,'Raw Data Input'!$AY81,IF(H$9=4,'Raw Data Input'!$BE81,IF(H$9=0,0)))))</f>
        <v>0</v>
      </c>
      <c r="I152" s="323">
        <f>IF(I$9=1,'Raw Data Input'!$AM81,IF(I$9=2,'Raw Data Input'!$AS81,IF(I$9=3,'Raw Data Input'!$AY81,IF(I$9=4,'Raw Data Input'!$BE81,IF(I$9=0,0)))))</f>
        <v>0</v>
      </c>
      <c r="J152" s="323">
        <f>IF(J$9=1,'Raw Data Input'!$AM81,IF(J$9=2,'Raw Data Input'!$AS81,IF(J$9=3,'Raw Data Input'!$AY81,IF(J$9=4,'Raw Data Input'!$BE81,IF(J$9=0,0)))))</f>
        <v>0</v>
      </c>
      <c r="K152" s="323">
        <f>IF(K$9=1,'Raw Data Input'!$AM81,IF(K$9=2,'Raw Data Input'!$AS81,IF(K$9=3,'Raw Data Input'!$AY81,IF(K$9=4,'Raw Data Input'!$BE81,IF(K$9=0,0)))))</f>
        <v>0</v>
      </c>
      <c r="L152" s="323">
        <f>IF(L$9=1,'Raw Data Input'!$AM81,IF(L$9=2,'Raw Data Input'!$AS81,IF(L$9=3,'Raw Data Input'!$AY81,IF(L$9=4,'Raw Data Input'!$BE81,IF(L$9=0,0)))))</f>
        <v>0</v>
      </c>
      <c r="M152" s="323">
        <f>IF(M$9=1,'Raw Data Input'!$AM81,IF(M$9=2,'Raw Data Input'!$AS81,IF(M$9=3,'Raw Data Input'!$AY81,IF(M$9=4,'Raw Data Input'!$BE81,IF(M$9=0,0)))))</f>
        <v>0</v>
      </c>
      <c r="N152" s="323">
        <f>IF(N$9=1,'Raw Data Input'!$AM81,IF(N$9=2,'Raw Data Input'!$AS81,IF(N$9=3,'Raw Data Input'!$AY81,IF(N$9=4,'Raw Data Input'!$BE81,IF(N$9=0,0)))))</f>
        <v>0</v>
      </c>
      <c r="O152" s="323">
        <f>IF(O$9=1,'Raw Data Input'!$AM81,IF(O$9=2,'Raw Data Input'!$AS81,IF(O$9=3,'Raw Data Input'!$AY81,IF(O$9=4,'Raw Data Input'!$BE81,IF(O$9=0,0)))))</f>
        <v>0</v>
      </c>
      <c r="P152" s="323">
        <f>IF(P$9=1,'Raw Data Input'!$AM81,IF(P$9=2,'Raw Data Input'!$AS81,IF(P$9=3,'Raw Data Input'!$AY81,IF(P$9=4,'Raw Data Input'!$BE81,IF(P$9=0,0)))))</f>
        <v>0</v>
      </c>
      <c r="Q152" s="323">
        <f>IF(Q$9=1,'Raw Data Input'!$AM81,IF(Q$9=2,'Raw Data Input'!$AS81,IF(Q$9=3,'Raw Data Input'!$AY81,IF(Q$9=4,'Raw Data Input'!$BE81,IF(Q$9=0,0)))))</f>
        <v>0</v>
      </c>
      <c r="R152" s="323">
        <f>IF(R$9=1,'Raw Data Input'!$AM81,IF(R$9=2,'Raw Data Input'!$AS81,IF(R$9=3,'Raw Data Input'!$AY81,IF(R$9=4,'Raw Data Input'!$BE81,IF(R$9=0,0)))))</f>
        <v>0.99923912805608495</v>
      </c>
      <c r="S152" s="323">
        <f>IF(S$9=1,'Raw Data Input'!$AM81,IF(S$9=2,'Raw Data Input'!$AS81,IF(S$9=3,'Raw Data Input'!$AY81,IF(S$9=4,'Raw Data Input'!$BE81,IF(S$9=0,0)))))</f>
        <v>0.99923912805608495</v>
      </c>
      <c r="T152" s="323">
        <f>IF(T$9=1,'Raw Data Input'!$AM81,IF(T$9=2,'Raw Data Input'!$AS81,IF(T$9=3,'Raw Data Input'!$AY81,IF(T$9=4,'Raw Data Input'!$BE81,IF(T$9=0,0)))))</f>
        <v>0.99923912805608495</v>
      </c>
      <c r="U152" s="323">
        <f>IF(U$9=1,'Raw Data Input'!$AM81,IF(U$9=2,'Raw Data Input'!$AS81,IF(U$9=3,'Raw Data Input'!$AY81,IF(U$9=4,'Raw Data Input'!$BE81,IF(U$9=0,0)))))</f>
        <v>0.99923912805608495</v>
      </c>
      <c r="V152" s="323">
        <f>IF(V$9=1,'Raw Data Input'!$AM81,IF(V$9=2,'Raw Data Input'!$AS81,IF(V$9=3,'Raw Data Input'!$AY81,IF(V$9=4,'Raw Data Input'!$BE81,IF(V$9=0,0)))))</f>
        <v>0.99923912805608495</v>
      </c>
      <c r="W152" s="323">
        <f>IF(W$9=1,'Raw Data Input'!$AM81,IF(W$9=2,'Raw Data Input'!$AS81,IF(W$9=3,'Raw Data Input'!$AY81,IF(W$9=4,'Raw Data Input'!$BE81,IF(W$9=0,0)))))</f>
        <v>0.99923912805608495</v>
      </c>
      <c r="X152" s="323">
        <f>IF(X$9=1,'Raw Data Input'!$AM81,IF(X$9=2,'Raw Data Input'!$AS81,IF(X$9=3,'Raw Data Input'!$AY81,IF(X$9=4,'Raw Data Input'!$BE81,IF(X$9=0,0)))))</f>
        <v>0.99923912805608495</v>
      </c>
      <c r="Y152" s="323">
        <f>IF(Y$9=1,'Raw Data Input'!$AM81,IF(Y$9=2,'Raw Data Input'!$AS81,IF(Y$9=3,'Raw Data Input'!$AY81,IF(Y$9=4,'Raw Data Input'!$BE81,IF(Y$9=0,0)))))</f>
        <v>0.99923912805608495</v>
      </c>
      <c r="Z152" s="323">
        <f>IF(Z$9=1,'Raw Data Input'!$AM81,IF(Z$9=2,'Raw Data Input'!$AS81,IF(Z$9=3,'Raw Data Input'!$AY81,IF(Z$9=4,'Raw Data Input'!$BE81,IF(Z$9=0,0)))))</f>
        <v>0.99923912805608495</v>
      </c>
      <c r="AA152" s="323">
        <f>IF(AA$9=1,'Raw Data Input'!$AM81,IF(AA$9=2,'Raw Data Input'!$AS81,IF(AA$9=3,'Raw Data Input'!$AY81,IF(AA$9=4,'Raw Data Input'!$BE81,IF(AA$9=0,0)))))</f>
        <v>0</v>
      </c>
      <c r="AB152" s="323">
        <f>IF(AB$9=1,'Raw Data Input'!$AM81,IF(AB$9=2,'Raw Data Input'!$AS81,IF(AB$9=3,'Raw Data Input'!$AY81,IF(AB$9=4,'Raw Data Input'!$BE81,IF(AB$9=0,0)))))</f>
        <v>0</v>
      </c>
      <c r="AC152" s="323">
        <f>IF(AC$9=1,'Raw Data Input'!$AM81,IF(AC$9=2,'Raw Data Input'!$AS81,IF(AC$9=3,'Raw Data Input'!$AY81,IF(AC$9=4,'Raw Data Input'!$BE81,IF(AC$9=0,0)))))</f>
        <v>0</v>
      </c>
      <c r="AD152" s="323">
        <f>IF(AD$9=1,'Raw Data Input'!$AM81,IF(AD$9=2,'Raw Data Input'!$AS81,IF(AD$9=3,'Raw Data Input'!$AY81,IF(AD$9=4,'Raw Data Input'!$BE81,IF(AD$9=0,0)))))</f>
        <v>0</v>
      </c>
      <c r="AE152" s="323">
        <f>IF(AE$9=1,'Raw Data Input'!$AM81,IF(AE$9=2,'Raw Data Input'!$AS81,IF(AE$9=3,'Raw Data Input'!$AY81,IF(AE$9=4,'Raw Data Input'!$BE81,IF(AE$9=0,0)))))</f>
        <v>0</v>
      </c>
      <c r="AF152" s="323">
        <f>IF(AF$9=1,'Raw Data Input'!$AM81,IF(AF$9=2,'Raw Data Input'!$AS81,IF(AF$9=3,'Raw Data Input'!$AY81,IF(AF$9=4,'Raw Data Input'!$BE81,IF(AF$9=0,0)))))</f>
        <v>0</v>
      </c>
      <c r="AG152" s="323"/>
    </row>
    <row r="153" spans="1:33" s="261" customFormat="1" x14ac:dyDescent="0.2">
      <c r="A153" s="212" t="s">
        <v>385</v>
      </c>
      <c r="B153" s="62"/>
      <c r="C153" s="323">
        <f>IF(C$9=1,'Raw Data Input'!$AN81,IF(C$9=2,'Raw Data Input'!$AT81,IF(C$9=3,'Raw Data Input'!$AZ81,IF(C$9=4,'Raw Data Input'!$BF81,IF(C$9=0,0)))))</f>
        <v>0</v>
      </c>
      <c r="D153" s="323">
        <f>IF(D$9=1,'Raw Data Input'!$AN81,IF(D$9=2,'Raw Data Input'!$AT81,IF(D$9=3,'Raw Data Input'!$AZ81,IF(D$9=4,'Raw Data Input'!$BF81,IF(D$9=0,0)))))</f>
        <v>0</v>
      </c>
      <c r="E153" s="323">
        <f>IF(E$9=1,'Raw Data Input'!$AN81,IF(E$9=2,'Raw Data Input'!$AT81,IF(E$9=3,'Raw Data Input'!$AZ81,IF(E$9=4,'Raw Data Input'!$BF81,IF(E$9=0,0)))))</f>
        <v>0</v>
      </c>
      <c r="F153" s="323">
        <f>IF(F$9=1,'Raw Data Input'!$AN81,IF(F$9=2,'Raw Data Input'!$AT81,IF(F$9=3,'Raw Data Input'!$AZ81,IF(F$9=4,'Raw Data Input'!$BF81,IF(F$9=0,0)))))</f>
        <v>0</v>
      </c>
      <c r="G153" s="323">
        <f>IF(G$9=1,'Raw Data Input'!$AN81,IF(G$9=2,'Raw Data Input'!$AT81,IF(G$9=3,'Raw Data Input'!$AZ81,IF(G$9=4,'Raw Data Input'!$BF81,IF(G$9=0,0)))))</f>
        <v>0</v>
      </c>
      <c r="H153" s="323">
        <f>IF(H$9=1,'Raw Data Input'!$AN81,IF(H$9=2,'Raw Data Input'!$AT81,IF(H$9=3,'Raw Data Input'!$AZ81,IF(H$9=4,'Raw Data Input'!$BF81,IF(H$9=0,0)))))</f>
        <v>0</v>
      </c>
      <c r="I153" s="323">
        <f>IF(I$9=1,'Raw Data Input'!$AN81,IF(I$9=2,'Raw Data Input'!$AT81,IF(I$9=3,'Raw Data Input'!$AZ81,IF(I$9=4,'Raw Data Input'!$BF81,IF(I$9=0,0)))))</f>
        <v>0</v>
      </c>
      <c r="J153" s="323">
        <f>IF(J$9=1,'Raw Data Input'!$AN81,IF(J$9=2,'Raw Data Input'!$AT81,IF(J$9=3,'Raw Data Input'!$AZ81,IF(J$9=4,'Raw Data Input'!$BF81,IF(J$9=0,0)))))</f>
        <v>0</v>
      </c>
      <c r="K153" s="323">
        <f>IF(K$9=1,'Raw Data Input'!$AN81,IF(K$9=2,'Raw Data Input'!$AT81,IF(K$9=3,'Raw Data Input'!$AZ81,IF(K$9=4,'Raw Data Input'!$BF81,IF(K$9=0,0)))))</f>
        <v>0</v>
      </c>
      <c r="L153" s="323">
        <f>IF(L$9=1,'Raw Data Input'!$AN81,IF(L$9=2,'Raw Data Input'!$AT81,IF(L$9=3,'Raw Data Input'!$AZ81,IF(L$9=4,'Raw Data Input'!$BF81,IF(L$9=0,0)))))</f>
        <v>0</v>
      </c>
      <c r="M153" s="323">
        <f>IF(M$9=1,'Raw Data Input'!$AN81,IF(M$9=2,'Raw Data Input'!$AT81,IF(M$9=3,'Raw Data Input'!$AZ81,IF(M$9=4,'Raw Data Input'!$BF81,IF(M$9=0,0)))))</f>
        <v>0</v>
      </c>
      <c r="N153" s="323">
        <f>IF(N$9=1,'Raw Data Input'!$AN81,IF(N$9=2,'Raw Data Input'!$AT81,IF(N$9=3,'Raw Data Input'!$AZ81,IF(N$9=4,'Raw Data Input'!$BF81,IF(N$9=0,0)))))</f>
        <v>0</v>
      </c>
      <c r="O153" s="323">
        <f>IF(O$9=1,'Raw Data Input'!$AN81,IF(O$9=2,'Raw Data Input'!$AT81,IF(O$9=3,'Raw Data Input'!$AZ81,IF(O$9=4,'Raw Data Input'!$BF81,IF(O$9=0,0)))))</f>
        <v>0</v>
      </c>
      <c r="P153" s="323">
        <f>IF(P$9=1,'Raw Data Input'!$AN81,IF(P$9=2,'Raw Data Input'!$AT81,IF(P$9=3,'Raw Data Input'!$AZ81,IF(P$9=4,'Raw Data Input'!$BF81,IF(P$9=0,0)))))</f>
        <v>0</v>
      </c>
      <c r="Q153" s="323">
        <f>IF(Q$9=1,'Raw Data Input'!$AN81,IF(Q$9=2,'Raw Data Input'!$AT81,IF(Q$9=3,'Raw Data Input'!$AZ81,IF(Q$9=4,'Raw Data Input'!$BF81,IF(Q$9=0,0)))))</f>
        <v>0</v>
      </c>
      <c r="R153" s="323">
        <f>IF(R$9=1,'Raw Data Input'!$AN81,IF(R$9=2,'Raw Data Input'!$AT81,IF(R$9=3,'Raw Data Input'!$AZ81,IF(R$9=4,'Raw Data Input'!$BF81,IF(R$9=0,0)))))</f>
        <v>2.657E-2</v>
      </c>
      <c r="S153" s="323">
        <f>IF(S$9=1,'Raw Data Input'!$AN81,IF(S$9=2,'Raw Data Input'!$AT81,IF(S$9=3,'Raw Data Input'!$AZ81,IF(S$9=4,'Raw Data Input'!$BF81,IF(S$9=0,0)))))</f>
        <v>2.657E-2</v>
      </c>
      <c r="T153" s="323">
        <f>IF(T$9=1,'Raw Data Input'!$AN81,IF(T$9=2,'Raw Data Input'!$AT81,IF(T$9=3,'Raw Data Input'!$AZ81,IF(T$9=4,'Raw Data Input'!$BF81,IF(T$9=0,0)))))</f>
        <v>2.657E-2</v>
      </c>
      <c r="U153" s="323">
        <f>IF(U$9=1,'Raw Data Input'!$AN81,IF(U$9=2,'Raw Data Input'!$AT81,IF(U$9=3,'Raw Data Input'!$AZ81,IF(U$9=4,'Raw Data Input'!$BF81,IF(U$9=0,0)))))</f>
        <v>2.657E-2</v>
      </c>
      <c r="V153" s="323">
        <f>IF(V$9=1,'Raw Data Input'!$AN81,IF(V$9=2,'Raw Data Input'!$AT81,IF(V$9=3,'Raw Data Input'!$AZ81,IF(V$9=4,'Raw Data Input'!$BF81,IF(V$9=0,0)))))</f>
        <v>2.657E-2</v>
      </c>
      <c r="W153" s="323">
        <f>IF(W$9=1,'Raw Data Input'!$AN81,IF(W$9=2,'Raw Data Input'!$AT81,IF(W$9=3,'Raw Data Input'!$AZ81,IF(W$9=4,'Raw Data Input'!$BF81,IF(W$9=0,0)))))</f>
        <v>2.657E-2</v>
      </c>
      <c r="X153" s="323">
        <f>IF(X$9=1,'Raw Data Input'!$AN81,IF(X$9=2,'Raw Data Input'!$AT81,IF(X$9=3,'Raw Data Input'!$AZ81,IF(X$9=4,'Raw Data Input'!$BF81,IF(X$9=0,0)))))</f>
        <v>2.657E-2</v>
      </c>
      <c r="Y153" s="323">
        <f>IF(Y$9=1,'Raw Data Input'!$AN81,IF(Y$9=2,'Raw Data Input'!$AT81,IF(Y$9=3,'Raw Data Input'!$AZ81,IF(Y$9=4,'Raw Data Input'!$BF81,IF(Y$9=0,0)))))</f>
        <v>2.657E-2</v>
      </c>
      <c r="Z153" s="323">
        <f>IF(Z$9=1,'Raw Data Input'!$AN81,IF(Z$9=2,'Raw Data Input'!$AT81,IF(Z$9=3,'Raw Data Input'!$AZ81,IF(Z$9=4,'Raw Data Input'!$BF81,IF(Z$9=0,0)))))</f>
        <v>2.657E-2</v>
      </c>
      <c r="AA153" s="323">
        <f>IF(AA$9=1,'Raw Data Input'!$AN81,IF(AA$9=2,'Raw Data Input'!$AT81,IF(AA$9=3,'Raw Data Input'!$AZ81,IF(AA$9=4,'Raw Data Input'!$BF81,IF(AA$9=0,0)))))</f>
        <v>0</v>
      </c>
      <c r="AB153" s="323">
        <f>IF(AB$9=1,'Raw Data Input'!$AN81,IF(AB$9=2,'Raw Data Input'!$AT81,IF(AB$9=3,'Raw Data Input'!$AZ81,IF(AB$9=4,'Raw Data Input'!$BF81,IF(AB$9=0,0)))))</f>
        <v>0</v>
      </c>
      <c r="AC153" s="323">
        <f>IF(AC$9=1,'Raw Data Input'!$AN81,IF(AC$9=2,'Raw Data Input'!$AT81,IF(AC$9=3,'Raw Data Input'!$AZ81,IF(AC$9=4,'Raw Data Input'!$BF81,IF(AC$9=0,0)))))</f>
        <v>0</v>
      </c>
      <c r="AD153" s="323">
        <f>IF(AD$9=1,'Raw Data Input'!$AN81,IF(AD$9=2,'Raw Data Input'!$AT81,IF(AD$9=3,'Raw Data Input'!$AZ81,IF(AD$9=4,'Raw Data Input'!$BF81,IF(AD$9=0,0)))))</f>
        <v>0</v>
      </c>
      <c r="AE153" s="323">
        <f>IF(AE$9=1,'Raw Data Input'!$AN81,IF(AE$9=2,'Raw Data Input'!$AT81,IF(AE$9=3,'Raw Data Input'!$AZ81,IF(AE$9=4,'Raw Data Input'!$BF81,IF(AE$9=0,0)))))</f>
        <v>0</v>
      </c>
      <c r="AF153" s="323">
        <f>IF(AF$9=1,'Raw Data Input'!$AN81,IF(AF$9=2,'Raw Data Input'!$AT81,IF(AF$9=3,'Raw Data Input'!$AZ81,IF(AF$9=4,'Raw Data Input'!$BF81,IF(AF$9=0,0)))))</f>
        <v>0</v>
      </c>
      <c r="AG153" s="323"/>
    </row>
    <row r="154" spans="1:33" s="262" customFormat="1" x14ac:dyDescent="0.2">
      <c r="A154" s="198" t="s">
        <v>295</v>
      </c>
      <c r="B154" s="62"/>
      <c r="C154" s="323">
        <f>IF(C$9=1,'Raw Data Input'!$AM82,IF(C$9=2,'Raw Data Input'!$AS82,IF(C$9=3,'Raw Data Input'!$AY82,IF(C$9=4,'Raw Data Input'!$BE82,IF(C$9=0,0)))))</f>
        <v>4.2801578411821896E-3</v>
      </c>
      <c r="D154" s="323">
        <f>IF(D$9=1,'Raw Data Input'!$AM82,IF(D$9=2,'Raw Data Input'!$AS82,IF(D$9=3,'Raw Data Input'!$AY82,IF(D$9=4,'Raw Data Input'!$BE82,IF(D$9=0,0)))))</f>
        <v>4.2801578411821896E-3</v>
      </c>
      <c r="E154" s="323">
        <f>IF(E$9=1,'Raw Data Input'!$AM82,IF(E$9=2,'Raw Data Input'!$AS82,IF(E$9=3,'Raw Data Input'!$AY82,IF(E$9=4,'Raw Data Input'!$BE82,IF(E$9=0,0)))))</f>
        <v>4.2801578411821896E-3</v>
      </c>
      <c r="F154" s="323">
        <f>IF(F$9=1,'Raw Data Input'!$AM82,IF(F$9=2,'Raw Data Input'!$AS82,IF(F$9=3,'Raw Data Input'!$AY82,IF(F$9=4,'Raw Data Input'!$BE82,IF(F$9=0,0)))))</f>
        <v>4.2801578411821896E-3</v>
      </c>
      <c r="G154" s="323">
        <f>IF(G$9=1,'Raw Data Input'!$AM82,IF(G$9=2,'Raw Data Input'!$AS82,IF(G$9=3,'Raw Data Input'!$AY82,IF(G$9=4,'Raw Data Input'!$BE82,IF(G$9=0,0)))))</f>
        <v>4.2801578411821896E-3</v>
      </c>
      <c r="H154" s="323">
        <f>IF(H$9=1,'Raw Data Input'!$AM82,IF(H$9=2,'Raw Data Input'!$AS82,IF(H$9=3,'Raw Data Input'!$AY82,IF(H$9=4,'Raw Data Input'!$BE82,IF(H$9=0,0)))))</f>
        <v>4.2801578411821896E-3</v>
      </c>
      <c r="I154" s="323">
        <f>IF(I$9=1,'Raw Data Input'!$AM82,IF(I$9=2,'Raw Data Input'!$AS82,IF(I$9=3,'Raw Data Input'!$AY82,IF(I$9=4,'Raw Data Input'!$BE82,IF(I$9=0,0)))))</f>
        <v>4.2801578411821896E-3</v>
      </c>
      <c r="J154" s="323">
        <f>IF(J$9=1,'Raw Data Input'!$AM82,IF(J$9=2,'Raw Data Input'!$AS82,IF(J$9=3,'Raw Data Input'!$AY82,IF(J$9=4,'Raw Data Input'!$BE82,IF(J$9=0,0)))))</f>
        <v>4.2801578411821896E-3</v>
      </c>
      <c r="K154" s="323">
        <f>IF(K$9=1,'Raw Data Input'!$AM82,IF(K$9=2,'Raw Data Input'!$AS82,IF(K$9=3,'Raw Data Input'!$AY82,IF(K$9=4,'Raw Data Input'!$BE82,IF(K$9=0,0)))))</f>
        <v>4.7815756837100428E-4</v>
      </c>
      <c r="L154" s="323">
        <f>IF(L$9=1,'Raw Data Input'!$AM82,IF(L$9=2,'Raw Data Input'!$AS82,IF(L$9=3,'Raw Data Input'!$AY82,IF(L$9=4,'Raw Data Input'!$BE82,IF(L$9=0,0)))))</f>
        <v>4.7815756837100428E-4</v>
      </c>
      <c r="M154" s="323">
        <f>IF(M$9=1,'Raw Data Input'!$AM82,IF(M$9=2,'Raw Data Input'!$AS82,IF(M$9=3,'Raw Data Input'!$AY82,IF(M$9=4,'Raw Data Input'!$BE82,IF(M$9=0,0)))))</f>
        <v>4.7815756837100428E-4</v>
      </c>
      <c r="N154" s="323">
        <f>IF(N$9=1,'Raw Data Input'!$AM82,IF(N$9=2,'Raw Data Input'!$AS82,IF(N$9=3,'Raw Data Input'!$AY82,IF(N$9=4,'Raw Data Input'!$BE82,IF(N$9=0,0)))))</f>
        <v>4.7815756837100428E-4</v>
      </c>
      <c r="O154" s="323">
        <f>IF(O$9=1,'Raw Data Input'!$AM82,IF(O$9=2,'Raw Data Input'!$AS82,IF(O$9=3,'Raw Data Input'!$AY82,IF(O$9=4,'Raw Data Input'!$BE82,IF(O$9=0,0)))))</f>
        <v>4.7815756837100428E-4</v>
      </c>
      <c r="P154" s="323">
        <f>IF(P$9=1,'Raw Data Input'!$AM82,IF(P$9=2,'Raw Data Input'!$AS82,IF(P$9=3,'Raw Data Input'!$AY82,IF(P$9=4,'Raw Data Input'!$BE82,IF(P$9=0,0)))))</f>
        <v>4.7815756837100428E-4</v>
      </c>
      <c r="Q154" s="323">
        <f>IF(Q$9=1,'Raw Data Input'!$AM82,IF(Q$9=2,'Raw Data Input'!$AS82,IF(Q$9=3,'Raw Data Input'!$AY82,IF(Q$9=4,'Raw Data Input'!$BE82,IF(Q$9=0,0)))))</f>
        <v>4.7815756837100428E-4</v>
      </c>
      <c r="R154" s="323">
        <f>IF(R$9=1,'Raw Data Input'!$AM82,IF(R$9=2,'Raw Data Input'!$AS82,IF(R$9=3,'Raw Data Input'!$AY82,IF(R$9=4,'Raw Data Input'!$BE82,IF(R$9=0,0)))))</f>
        <v>7.4722693021844007E-4</v>
      </c>
      <c r="S154" s="323">
        <f>IF(S$9=1,'Raw Data Input'!$AM82,IF(S$9=2,'Raw Data Input'!$AS82,IF(S$9=3,'Raw Data Input'!$AY82,IF(S$9=4,'Raw Data Input'!$BE82,IF(S$9=0,0)))))</f>
        <v>7.4722693021844007E-4</v>
      </c>
      <c r="T154" s="323">
        <f>IF(T$9=1,'Raw Data Input'!$AM82,IF(T$9=2,'Raw Data Input'!$AS82,IF(T$9=3,'Raw Data Input'!$AY82,IF(T$9=4,'Raw Data Input'!$BE82,IF(T$9=0,0)))))</f>
        <v>7.4722693021844007E-4</v>
      </c>
      <c r="U154" s="323">
        <f>IF(U$9=1,'Raw Data Input'!$AM82,IF(U$9=2,'Raw Data Input'!$AS82,IF(U$9=3,'Raw Data Input'!$AY82,IF(U$9=4,'Raw Data Input'!$BE82,IF(U$9=0,0)))))</f>
        <v>7.4722693021844007E-4</v>
      </c>
      <c r="V154" s="323">
        <f>IF(V$9=1,'Raw Data Input'!$AM82,IF(V$9=2,'Raw Data Input'!$AS82,IF(V$9=3,'Raw Data Input'!$AY82,IF(V$9=4,'Raw Data Input'!$BE82,IF(V$9=0,0)))))</f>
        <v>7.4722693021844007E-4</v>
      </c>
      <c r="W154" s="323">
        <f>IF(W$9=1,'Raw Data Input'!$AM82,IF(W$9=2,'Raw Data Input'!$AS82,IF(W$9=3,'Raw Data Input'!$AY82,IF(W$9=4,'Raw Data Input'!$BE82,IF(W$9=0,0)))))</f>
        <v>7.4722693021844007E-4</v>
      </c>
      <c r="X154" s="323">
        <f>IF(X$9=1,'Raw Data Input'!$AM82,IF(X$9=2,'Raw Data Input'!$AS82,IF(X$9=3,'Raw Data Input'!$AY82,IF(X$9=4,'Raw Data Input'!$BE82,IF(X$9=0,0)))))</f>
        <v>7.4722693021844007E-4</v>
      </c>
      <c r="Y154" s="323">
        <f>IF(Y$9=1,'Raw Data Input'!$AM82,IF(Y$9=2,'Raw Data Input'!$AS82,IF(Y$9=3,'Raw Data Input'!$AY82,IF(Y$9=4,'Raw Data Input'!$BE82,IF(Y$9=0,0)))))</f>
        <v>7.4722693021844007E-4</v>
      </c>
      <c r="Z154" s="323">
        <f>IF(Z$9=1,'Raw Data Input'!$AM82,IF(Z$9=2,'Raw Data Input'!$AS82,IF(Z$9=3,'Raw Data Input'!$AY82,IF(Z$9=4,'Raw Data Input'!$BE82,IF(Z$9=0,0)))))</f>
        <v>7.4722693021844007E-4</v>
      </c>
      <c r="AA154" s="323">
        <f>IF(AA$9=1,'Raw Data Input'!$AM82,IF(AA$9=2,'Raw Data Input'!$AS82,IF(AA$9=3,'Raw Data Input'!$AY82,IF(AA$9=4,'Raw Data Input'!$BE82,IF(AA$9=0,0)))))</f>
        <v>4.2801578411821896E-3</v>
      </c>
      <c r="AB154" s="323">
        <f>IF(AB$9=1,'Raw Data Input'!$AM82,IF(AB$9=2,'Raw Data Input'!$AS82,IF(AB$9=3,'Raw Data Input'!$AY82,IF(AB$9=4,'Raw Data Input'!$BE82,IF(AB$9=0,0)))))</f>
        <v>4.2801578411821896E-3</v>
      </c>
      <c r="AC154" s="323">
        <f>IF(AC$9=1,'Raw Data Input'!$AM82,IF(AC$9=2,'Raw Data Input'!$AS82,IF(AC$9=3,'Raw Data Input'!$AY82,IF(AC$9=4,'Raw Data Input'!$BE82,IF(AC$9=0,0)))))</f>
        <v>4.2801578411821896E-3</v>
      </c>
      <c r="AD154" s="323">
        <f>IF(AD$9=1,'Raw Data Input'!$AM82,IF(AD$9=2,'Raw Data Input'!$AS82,IF(AD$9=3,'Raw Data Input'!$AY82,IF(AD$9=4,'Raw Data Input'!$BE82,IF(AD$9=0,0)))))</f>
        <v>4.2801578411821896E-3</v>
      </c>
      <c r="AE154" s="323">
        <f>IF(AE$9=1,'Raw Data Input'!$AM82,IF(AE$9=2,'Raw Data Input'!$AS82,IF(AE$9=3,'Raw Data Input'!$AY82,IF(AE$9=4,'Raw Data Input'!$BE82,IF(AE$9=0,0)))))</f>
        <v>4.2801578411821896E-3</v>
      </c>
      <c r="AF154" s="323">
        <f>IF(AF$9=1,'Raw Data Input'!$AM82,IF(AF$9=2,'Raw Data Input'!$AS82,IF(AF$9=3,'Raw Data Input'!$AY82,IF(AF$9=4,'Raw Data Input'!$BE82,IF(AF$9=0,0)))))</f>
        <v>4.2801578411821896E-3</v>
      </c>
      <c r="AG154" s="323"/>
    </row>
    <row r="155" spans="1:33" s="262" customFormat="1" x14ac:dyDescent="0.2">
      <c r="A155" s="212" t="s">
        <v>385</v>
      </c>
      <c r="B155" s="63"/>
      <c r="C155" s="323">
        <f>IF(C$9=1,'Raw Data Input'!$AN82,IF(C$9=2,'Raw Data Input'!$AT82,IF(C$9=2,'Raw Data Input'!$AZ82,IF(C$9=4,'Raw Data Input'!$BF82,IF(C$9=0,0)))))</f>
        <v>2.3259999999999999E-2</v>
      </c>
      <c r="D155" s="323">
        <f>IF(D$9=1,'Raw Data Input'!$AN82,IF(D$9=2,'Raw Data Input'!$AT82,IF(D$9=2,'Raw Data Input'!$AZ82,IF(D$9=4,'Raw Data Input'!$BF82,IF(D$9=0,0)))))</f>
        <v>2.3259999999999999E-2</v>
      </c>
      <c r="E155" s="323">
        <f>IF(E$9=1,'Raw Data Input'!$AN82,IF(E$9=2,'Raw Data Input'!$AT82,IF(E$9=2,'Raw Data Input'!$AZ82,IF(E$9=4,'Raw Data Input'!$BF82,IF(E$9=0,0)))))</f>
        <v>2.3259999999999999E-2</v>
      </c>
      <c r="F155" s="323">
        <f>IF(F$9=1,'Raw Data Input'!$AN82,IF(F$9=2,'Raw Data Input'!$AT82,IF(F$9=2,'Raw Data Input'!$AZ82,IF(F$9=4,'Raw Data Input'!$BF82,IF(F$9=0,0)))))</f>
        <v>2.3259999999999999E-2</v>
      </c>
      <c r="G155" s="323">
        <f>IF(G$9=1,'Raw Data Input'!$AN82,IF(G$9=2,'Raw Data Input'!$AT82,IF(G$9=2,'Raw Data Input'!$AZ82,IF(G$9=4,'Raw Data Input'!$BF82,IF(G$9=0,0)))))</f>
        <v>2.3259999999999999E-2</v>
      </c>
      <c r="H155" s="323">
        <f>IF(H$9=1,'Raw Data Input'!$AN82,IF(H$9=2,'Raw Data Input'!$AT82,IF(H$9=2,'Raw Data Input'!$AZ82,IF(H$9=4,'Raw Data Input'!$BF82,IF(H$9=0,0)))))</f>
        <v>2.3259999999999999E-2</v>
      </c>
      <c r="I155" s="323">
        <f>IF(I$9=1,'Raw Data Input'!$AN82,IF(I$9=2,'Raw Data Input'!$AT82,IF(I$9=2,'Raw Data Input'!$AZ82,IF(I$9=4,'Raw Data Input'!$BF82,IF(I$9=0,0)))))</f>
        <v>2.3259999999999999E-2</v>
      </c>
      <c r="J155" s="323">
        <f>IF(J$9=1,'Raw Data Input'!$AN82,IF(J$9=2,'Raw Data Input'!$AT82,IF(J$9=2,'Raw Data Input'!$AZ82,IF(J$9=4,'Raw Data Input'!$BF82,IF(J$9=0,0)))))</f>
        <v>2.3259999999999999E-2</v>
      </c>
      <c r="K155" s="323">
        <f>IF(K$9=1,'Raw Data Input'!$AN82,IF(K$9=2,'Raw Data Input'!$AT82,IF(K$9=2,'Raw Data Input'!$AZ82,IF(K$9=4,'Raw Data Input'!$BF82,IF(K$9=0,0)))))</f>
        <v>6.6109033999999997E-2</v>
      </c>
      <c r="L155" s="323">
        <f>IF(L$9=1,'Raw Data Input'!$AN82,IF(L$9=2,'Raw Data Input'!$AT82,IF(L$9=2,'Raw Data Input'!$AZ82,IF(L$9=4,'Raw Data Input'!$BF82,IF(L$9=0,0)))))</f>
        <v>6.6109033999999997E-2</v>
      </c>
      <c r="M155" s="323">
        <f>IF(M$9=1,'Raw Data Input'!$AN82,IF(M$9=2,'Raw Data Input'!$AT82,IF(M$9=2,'Raw Data Input'!$AZ82,IF(M$9=4,'Raw Data Input'!$BF82,IF(M$9=0,0)))))</f>
        <v>6.6109033999999997E-2</v>
      </c>
      <c r="N155" s="323">
        <f>IF(N$9=1,'Raw Data Input'!$AN82,IF(N$9=2,'Raw Data Input'!$AT82,IF(N$9=2,'Raw Data Input'!$AZ82,IF(N$9=4,'Raw Data Input'!$BF82,IF(N$9=0,0)))))</f>
        <v>6.6109033999999997E-2</v>
      </c>
      <c r="O155" s="323">
        <f>IF(O$9=1,'Raw Data Input'!$AN82,IF(O$9=2,'Raw Data Input'!$AT82,IF(O$9=2,'Raw Data Input'!$AZ82,IF(O$9=4,'Raw Data Input'!$BF82,IF(O$9=0,0)))))</f>
        <v>6.6109033999999997E-2</v>
      </c>
      <c r="P155" s="323">
        <f>IF(P$9=1,'Raw Data Input'!$AN82,IF(P$9=2,'Raw Data Input'!$AT82,IF(P$9=2,'Raw Data Input'!$AZ82,IF(P$9=4,'Raw Data Input'!$BF82,IF(P$9=0,0)))))</f>
        <v>6.6109033999999997E-2</v>
      </c>
      <c r="Q155" s="323">
        <f>IF(Q$9=1,'Raw Data Input'!$AN82,IF(Q$9=2,'Raw Data Input'!$AT82,IF(Q$9=2,'Raw Data Input'!$AZ82,IF(Q$9=4,'Raw Data Input'!$BF82,IF(Q$9=0,0)))))</f>
        <v>6.6109033999999997E-2</v>
      </c>
      <c r="R155" s="323" t="b">
        <f>IF(R$9=1,'Raw Data Input'!$AN82,IF(R$9=2,'Raw Data Input'!$AT82,IF(R$9=2,'Raw Data Input'!$AZ82,IF(R$9=4,'Raw Data Input'!$BF82,IF(R$9=0,0)))))</f>
        <v>0</v>
      </c>
      <c r="S155" s="323" t="b">
        <f>IF(S$9=1,'Raw Data Input'!$AN82,IF(S$9=2,'Raw Data Input'!$AT82,IF(S$9=2,'Raw Data Input'!$AZ82,IF(S$9=4,'Raw Data Input'!$BF82,IF(S$9=0,0)))))</f>
        <v>0</v>
      </c>
      <c r="T155" s="323" t="b">
        <f>IF(T$9=1,'Raw Data Input'!$AN82,IF(T$9=2,'Raw Data Input'!$AT82,IF(T$9=2,'Raw Data Input'!$AZ82,IF(T$9=4,'Raw Data Input'!$BF82,IF(T$9=0,0)))))</f>
        <v>0</v>
      </c>
      <c r="U155" s="323" t="b">
        <f>IF(U$9=1,'Raw Data Input'!$AN82,IF(U$9=2,'Raw Data Input'!$AT82,IF(U$9=2,'Raw Data Input'!$AZ82,IF(U$9=4,'Raw Data Input'!$BF82,IF(U$9=0,0)))))</f>
        <v>0</v>
      </c>
      <c r="V155" s="323" t="b">
        <f>IF(V$9=1,'Raw Data Input'!$AN82,IF(V$9=2,'Raw Data Input'!$AT82,IF(V$9=2,'Raw Data Input'!$AZ82,IF(V$9=4,'Raw Data Input'!$BF82,IF(V$9=0,0)))))</f>
        <v>0</v>
      </c>
      <c r="W155" s="323" t="b">
        <f>IF(W$9=1,'Raw Data Input'!$AN82,IF(W$9=2,'Raw Data Input'!$AT82,IF(W$9=2,'Raw Data Input'!$AZ82,IF(W$9=4,'Raw Data Input'!$BF82,IF(W$9=0,0)))))</f>
        <v>0</v>
      </c>
      <c r="X155" s="323" t="b">
        <f>IF(X$9=1,'Raw Data Input'!$AN82,IF(X$9=2,'Raw Data Input'!$AT82,IF(X$9=2,'Raw Data Input'!$AZ82,IF(X$9=4,'Raw Data Input'!$BF82,IF(X$9=0,0)))))</f>
        <v>0</v>
      </c>
      <c r="Y155" s="323" t="b">
        <f>IF(Y$9=1,'Raw Data Input'!$AN82,IF(Y$9=2,'Raw Data Input'!$AT82,IF(Y$9=2,'Raw Data Input'!$AZ82,IF(Y$9=4,'Raw Data Input'!$BF82,IF(Y$9=0,0)))))</f>
        <v>0</v>
      </c>
      <c r="Z155" s="323" t="b">
        <f>IF(Z$9=1,'Raw Data Input'!$AN82,IF(Z$9=2,'Raw Data Input'!$AT82,IF(Z$9=2,'Raw Data Input'!$AZ82,IF(Z$9=4,'Raw Data Input'!$BF82,IF(Z$9=0,0)))))</f>
        <v>0</v>
      </c>
      <c r="AA155" s="323">
        <f>IF(AA$9=1,'Raw Data Input'!$AN82,IF(AA$9=2,'Raw Data Input'!$AT82,IF(AA$9=2,'Raw Data Input'!$AZ82,IF(AA$9=4,'Raw Data Input'!$BF82,IF(AA$9=0,0)))))</f>
        <v>2.3259999999999999E-2</v>
      </c>
      <c r="AB155" s="323">
        <f>IF(AB$9=1,'Raw Data Input'!$AN82,IF(AB$9=2,'Raw Data Input'!$AT82,IF(AB$9=2,'Raw Data Input'!$AZ82,IF(AB$9=4,'Raw Data Input'!$BF82,IF(AB$9=0,0)))))</f>
        <v>2.3259999999999999E-2</v>
      </c>
      <c r="AC155" s="323">
        <f>IF(AC$9=1,'Raw Data Input'!$AN82,IF(AC$9=2,'Raw Data Input'!$AT82,IF(AC$9=2,'Raw Data Input'!$AZ82,IF(AC$9=4,'Raw Data Input'!$BF82,IF(AC$9=0,0)))))</f>
        <v>2.3259999999999999E-2</v>
      </c>
      <c r="AD155" s="323">
        <f>IF(AD$9=1,'Raw Data Input'!$AN82,IF(AD$9=2,'Raw Data Input'!$AT82,IF(AD$9=2,'Raw Data Input'!$AZ82,IF(AD$9=4,'Raw Data Input'!$BF82,IF(AD$9=0,0)))))</f>
        <v>2.3259999999999999E-2</v>
      </c>
      <c r="AE155" s="323">
        <f>IF(AE$9=1,'Raw Data Input'!$AN82,IF(AE$9=2,'Raw Data Input'!$AT82,IF(AE$9=2,'Raw Data Input'!$AZ82,IF(AE$9=4,'Raw Data Input'!$BF82,IF(AE$9=0,0)))))</f>
        <v>2.3259999999999999E-2</v>
      </c>
      <c r="AF155" s="323">
        <f>IF(AF$9=1,'Raw Data Input'!$AN82,IF(AF$9=2,'Raw Data Input'!$AT82,IF(AF$9=2,'Raw Data Input'!$AZ82,IF(AF$9=4,'Raw Data Input'!$BF82,IF(AF$9=0,0)))))</f>
        <v>2.3259999999999999E-2</v>
      </c>
      <c r="AG155" s="323"/>
    </row>
    <row r="156" spans="1:33" s="262" customFormat="1" x14ac:dyDescent="0.2">
      <c r="A156" s="198" t="s">
        <v>296</v>
      </c>
      <c r="B156" s="62"/>
      <c r="C156" s="323">
        <f>IF(C$9=1,'Raw Data Input'!$AM83,IF(C$9=2,'Raw Data Input'!$AS83,IF(C$9=3,'Raw Data Input'!$AY83,IF(C$9=4,'Raw Data Input'!$BE83,IF(C$9=0,0)))))</f>
        <v>3.8023121282134602E-3</v>
      </c>
      <c r="D156" s="323">
        <f>IF(D$9=1,'Raw Data Input'!$AM83,IF(D$9=2,'Raw Data Input'!$AS83,IF(D$9=3,'Raw Data Input'!$AY83,IF(D$9=4,'Raw Data Input'!$BE83,IF(D$9=0,0)))))</f>
        <v>3.8023121282134602E-3</v>
      </c>
      <c r="E156" s="323">
        <f>IF(E$9=1,'Raw Data Input'!$AM83,IF(E$9=2,'Raw Data Input'!$AS83,IF(E$9=3,'Raw Data Input'!$AY83,IF(E$9=4,'Raw Data Input'!$BE83,IF(E$9=0,0)))))</f>
        <v>3.8023121282134602E-3</v>
      </c>
      <c r="F156" s="323">
        <f>IF(F$9=1,'Raw Data Input'!$AM83,IF(F$9=2,'Raw Data Input'!$AS83,IF(F$9=3,'Raw Data Input'!$AY83,IF(F$9=4,'Raw Data Input'!$BE83,IF(F$9=0,0)))))</f>
        <v>3.8023121282134602E-3</v>
      </c>
      <c r="G156" s="323">
        <f>IF(G$9=1,'Raw Data Input'!$AM83,IF(G$9=2,'Raw Data Input'!$AS83,IF(G$9=3,'Raw Data Input'!$AY83,IF(G$9=4,'Raw Data Input'!$BE83,IF(G$9=0,0)))))</f>
        <v>3.8023121282134602E-3</v>
      </c>
      <c r="H156" s="323">
        <f>IF(H$9=1,'Raw Data Input'!$AM83,IF(H$9=2,'Raw Data Input'!$AS83,IF(H$9=3,'Raw Data Input'!$AY83,IF(H$9=4,'Raw Data Input'!$BE83,IF(H$9=0,0)))))</f>
        <v>3.8023121282134602E-3</v>
      </c>
      <c r="I156" s="323">
        <f>IF(I$9=1,'Raw Data Input'!$AM83,IF(I$9=2,'Raw Data Input'!$AS83,IF(I$9=3,'Raw Data Input'!$AY83,IF(I$9=4,'Raw Data Input'!$BE83,IF(I$9=0,0)))))</f>
        <v>3.8023121282134602E-3</v>
      </c>
      <c r="J156" s="323">
        <f>IF(J$9=1,'Raw Data Input'!$AM83,IF(J$9=2,'Raw Data Input'!$AS83,IF(J$9=3,'Raw Data Input'!$AY83,IF(J$9=4,'Raw Data Input'!$BE83,IF(J$9=0,0)))))</f>
        <v>3.8023121282134602E-3</v>
      </c>
      <c r="K156" s="323">
        <f>IF(K$9=1,'Raw Data Input'!$AM83,IF(K$9=2,'Raw Data Input'!$AS83,IF(K$9=3,'Raw Data Input'!$AY83,IF(K$9=4,'Raw Data Input'!$BE83,IF(K$9=0,0)))))</f>
        <v>3.4217101037897974E-4</v>
      </c>
      <c r="L156" s="323">
        <f>IF(L$9=1,'Raw Data Input'!$AM83,IF(L$9=2,'Raw Data Input'!$AS83,IF(L$9=3,'Raw Data Input'!$AY83,IF(L$9=4,'Raw Data Input'!$BE83,IF(L$9=0,0)))))</f>
        <v>3.4217101037897974E-4</v>
      </c>
      <c r="M156" s="323">
        <f>IF(M$9=1,'Raw Data Input'!$AM83,IF(M$9=2,'Raw Data Input'!$AS83,IF(M$9=3,'Raw Data Input'!$AY83,IF(M$9=4,'Raw Data Input'!$BE83,IF(M$9=0,0)))))</f>
        <v>3.4217101037897974E-4</v>
      </c>
      <c r="N156" s="323">
        <f>IF(N$9=1,'Raw Data Input'!$AM83,IF(N$9=2,'Raw Data Input'!$AS83,IF(N$9=3,'Raw Data Input'!$AY83,IF(N$9=4,'Raw Data Input'!$BE83,IF(N$9=0,0)))))</f>
        <v>3.4217101037897974E-4</v>
      </c>
      <c r="O156" s="323">
        <f>IF(O$9=1,'Raw Data Input'!$AM83,IF(O$9=2,'Raw Data Input'!$AS83,IF(O$9=3,'Raw Data Input'!$AY83,IF(O$9=4,'Raw Data Input'!$BE83,IF(O$9=0,0)))))</f>
        <v>3.4217101037897974E-4</v>
      </c>
      <c r="P156" s="323">
        <f>IF(P$9=1,'Raw Data Input'!$AM83,IF(P$9=2,'Raw Data Input'!$AS83,IF(P$9=3,'Raw Data Input'!$AY83,IF(P$9=4,'Raw Data Input'!$BE83,IF(P$9=0,0)))))</f>
        <v>3.4217101037897974E-4</v>
      </c>
      <c r="Q156" s="323">
        <f>IF(Q$9=1,'Raw Data Input'!$AM83,IF(Q$9=2,'Raw Data Input'!$AS83,IF(Q$9=3,'Raw Data Input'!$AY83,IF(Q$9=4,'Raw Data Input'!$BE83,IF(Q$9=0,0)))))</f>
        <v>3.4217101037897974E-4</v>
      </c>
      <c r="R156" s="323">
        <f>IF(R$9=1,'Raw Data Input'!$AM83,IF(R$9=2,'Raw Data Input'!$AS83,IF(R$9=3,'Raw Data Input'!$AY83,IF(R$9=4,'Raw Data Input'!$BE83,IF(R$9=0,0)))))</f>
        <v>6.5166558681610965E-4</v>
      </c>
      <c r="S156" s="323">
        <f>IF(S$9=1,'Raw Data Input'!$AM83,IF(S$9=2,'Raw Data Input'!$AS83,IF(S$9=3,'Raw Data Input'!$AY83,IF(S$9=4,'Raw Data Input'!$BE83,IF(S$9=0,0)))))</f>
        <v>6.5166558681610965E-4</v>
      </c>
      <c r="T156" s="323">
        <f>IF(T$9=1,'Raw Data Input'!$AM83,IF(T$9=2,'Raw Data Input'!$AS83,IF(T$9=3,'Raw Data Input'!$AY83,IF(T$9=4,'Raw Data Input'!$BE83,IF(T$9=0,0)))))</f>
        <v>6.5166558681610965E-4</v>
      </c>
      <c r="U156" s="323">
        <f>IF(U$9=1,'Raw Data Input'!$AM83,IF(U$9=2,'Raw Data Input'!$AS83,IF(U$9=3,'Raw Data Input'!$AY83,IF(U$9=4,'Raw Data Input'!$BE83,IF(U$9=0,0)))))</f>
        <v>6.5166558681610965E-4</v>
      </c>
      <c r="V156" s="323">
        <f>IF(V$9=1,'Raw Data Input'!$AM83,IF(V$9=2,'Raw Data Input'!$AS83,IF(V$9=3,'Raw Data Input'!$AY83,IF(V$9=4,'Raw Data Input'!$BE83,IF(V$9=0,0)))))</f>
        <v>6.5166558681610965E-4</v>
      </c>
      <c r="W156" s="323">
        <f>IF(W$9=1,'Raw Data Input'!$AM83,IF(W$9=2,'Raw Data Input'!$AS83,IF(W$9=3,'Raw Data Input'!$AY83,IF(W$9=4,'Raw Data Input'!$BE83,IF(W$9=0,0)))))</f>
        <v>6.5166558681610965E-4</v>
      </c>
      <c r="X156" s="323">
        <f>IF(X$9=1,'Raw Data Input'!$AM83,IF(X$9=2,'Raw Data Input'!$AS83,IF(X$9=3,'Raw Data Input'!$AY83,IF(X$9=4,'Raw Data Input'!$BE83,IF(X$9=0,0)))))</f>
        <v>6.5166558681610965E-4</v>
      </c>
      <c r="Y156" s="323">
        <f>IF(Y$9=1,'Raw Data Input'!$AM83,IF(Y$9=2,'Raw Data Input'!$AS83,IF(Y$9=3,'Raw Data Input'!$AY83,IF(Y$9=4,'Raw Data Input'!$BE83,IF(Y$9=0,0)))))</f>
        <v>6.5166558681610965E-4</v>
      </c>
      <c r="Z156" s="323">
        <f>IF(Z$9=1,'Raw Data Input'!$AM83,IF(Z$9=2,'Raw Data Input'!$AS83,IF(Z$9=3,'Raw Data Input'!$AY83,IF(Z$9=4,'Raw Data Input'!$BE83,IF(Z$9=0,0)))))</f>
        <v>6.5166558681610965E-4</v>
      </c>
      <c r="AA156" s="323">
        <f>IF(AA$9=1,'Raw Data Input'!$AM83,IF(AA$9=2,'Raw Data Input'!$AS83,IF(AA$9=3,'Raw Data Input'!$AY83,IF(AA$9=4,'Raw Data Input'!$BE83,IF(AA$9=0,0)))))</f>
        <v>3.8023121282134602E-3</v>
      </c>
      <c r="AB156" s="323">
        <f>IF(AB$9=1,'Raw Data Input'!$AM83,IF(AB$9=2,'Raw Data Input'!$AS83,IF(AB$9=3,'Raw Data Input'!$AY83,IF(AB$9=4,'Raw Data Input'!$BE83,IF(AB$9=0,0)))))</f>
        <v>3.8023121282134602E-3</v>
      </c>
      <c r="AC156" s="323">
        <f>IF(AC$9=1,'Raw Data Input'!$AM83,IF(AC$9=2,'Raw Data Input'!$AS83,IF(AC$9=3,'Raw Data Input'!$AY83,IF(AC$9=4,'Raw Data Input'!$BE83,IF(AC$9=0,0)))))</f>
        <v>3.8023121282134602E-3</v>
      </c>
      <c r="AD156" s="323">
        <f>IF(AD$9=1,'Raw Data Input'!$AM83,IF(AD$9=2,'Raw Data Input'!$AS83,IF(AD$9=3,'Raw Data Input'!$AY83,IF(AD$9=4,'Raw Data Input'!$BE83,IF(AD$9=0,0)))))</f>
        <v>3.8023121282134602E-3</v>
      </c>
      <c r="AE156" s="323">
        <f>IF(AE$9=1,'Raw Data Input'!$AM83,IF(AE$9=2,'Raw Data Input'!$AS83,IF(AE$9=3,'Raw Data Input'!$AY83,IF(AE$9=4,'Raw Data Input'!$BE83,IF(AE$9=0,0)))))</f>
        <v>3.8023121282134602E-3</v>
      </c>
      <c r="AF156" s="323">
        <f>IF(AF$9=1,'Raw Data Input'!$AM83,IF(AF$9=2,'Raw Data Input'!$AS83,IF(AF$9=3,'Raw Data Input'!$AY83,IF(AF$9=4,'Raw Data Input'!$BE83,IF(AF$9=0,0)))))</f>
        <v>3.8023121282134602E-3</v>
      </c>
      <c r="AG156" s="323"/>
    </row>
    <row r="157" spans="1:33" s="262" customFormat="1" x14ac:dyDescent="0.2">
      <c r="A157" s="212" t="s">
        <v>385</v>
      </c>
      <c r="B157" s="63"/>
      <c r="C157" s="323">
        <f>IF(C$9=1,'Raw Data Input'!$AN83,IF(C$9=2,'Raw Data Input'!$AT83,IF(C$9=3,'Raw Data Input'!$AZ83,IF(C$9=4,'Raw Data Input'!$BF83,IF(C$9=0,0)))))</f>
        <v>3.2175000000000002E-2</v>
      </c>
      <c r="D157" s="323">
        <f>IF(D$9=1,'Raw Data Input'!$AN83,IF(D$9=2,'Raw Data Input'!$AT83,IF(D$9=3,'Raw Data Input'!$AZ83,IF(D$9=4,'Raw Data Input'!$BF83,IF(D$9=0,0)))))</f>
        <v>3.2175000000000002E-2</v>
      </c>
      <c r="E157" s="323">
        <f>IF(E$9=1,'Raw Data Input'!$AN83,IF(E$9=2,'Raw Data Input'!$AT83,IF(E$9=3,'Raw Data Input'!$AZ83,IF(E$9=4,'Raw Data Input'!$BF83,IF(E$9=0,0)))))</f>
        <v>3.2175000000000002E-2</v>
      </c>
      <c r="F157" s="323">
        <f>IF(F$9=1,'Raw Data Input'!$AN83,IF(F$9=2,'Raw Data Input'!$AT83,IF(F$9=3,'Raw Data Input'!$AZ83,IF(F$9=4,'Raw Data Input'!$BF83,IF(F$9=0,0)))))</f>
        <v>3.2175000000000002E-2</v>
      </c>
      <c r="G157" s="323">
        <f>IF(G$9=1,'Raw Data Input'!$AN83,IF(G$9=2,'Raw Data Input'!$AT83,IF(G$9=3,'Raw Data Input'!$AZ83,IF(G$9=4,'Raw Data Input'!$BF83,IF(G$9=0,0)))))</f>
        <v>3.2175000000000002E-2</v>
      </c>
      <c r="H157" s="323">
        <f>IF(H$9=1,'Raw Data Input'!$AN83,IF(H$9=2,'Raw Data Input'!$AT83,IF(H$9=3,'Raw Data Input'!$AZ83,IF(H$9=4,'Raw Data Input'!$BF83,IF(H$9=0,0)))))</f>
        <v>3.2175000000000002E-2</v>
      </c>
      <c r="I157" s="323">
        <f>IF(I$9=1,'Raw Data Input'!$AN83,IF(I$9=2,'Raw Data Input'!$AT83,IF(I$9=3,'Raw Data Input'!$AZ83,IF(I$9=4,'Raw Data Input'!$BF83,IF(I$9=0,0)))))</f>
        <v>3.2175000000000002E-2</v>
      </c>
      <c r="J157" s="323">
        <f>IF(J$9=1,'Raw Data Input'!$AN83,IF(J$9=2,'Raw Data Input'!$AT83,IF(J$9=3,'Raw Data Input'!$AZ83,IF(J$9=4,'Raw Data Input'!$BF83,IF(J$9=0,0)))))</f>
        <v>3.2175000000000002E-2</v>
      </c>
      <c r="K157" s="323">
        <f>IF(K$9=1,'Raw Data Input'!$AN83,IF(K$9=2,'Raw Data Input'!$AT83,IF(K$9=3,'Raw Data Input'!$AZ83,IF(K$9=4,'Raw Data Input'!$BF83,IF(K$9=0,0)))))</f>
        <v>0.122432517344936</v>
      </c>
      <c r="L157" s="323">
        <f>IF(L$9=1,'Raw Data Input'!$AN83,IF(L$9=2,'Raw Data Input'!$AT83,IF(L$9=3,'Raw Data Input'!$AZ83,IF(L$9=4,'Raw Data Input'!$BF83,IF(L$9=0,0)))))</f>
        <v>0.122432517344936</v>
      </c>
      <c r="M157" s="323">
        <f>IF(M$9=1,'Raw Data Input'!$AN83,IF(M$9=2,'Raw Data Input'!$AT83,IF(M$9=3,'Raw Data Input'!$AZ83,IF(M$9=4,'Raw Data Input'!$BF83,IF(M$9=0,0)))))</f>
        <v>0.122432517344936</v>
      </c>
      <c r="N157" s="323">
        <f>IF(N$9=1,'Raw Data Input'!$AN83,IF(N$9=2,'Raw Data Input'!$AT83,IF(N$9=3,'Raw Data Input'!$AZ83,IF(N$9=4,'Raw Data Input'!$BF83,IF(N$9=0,0)))))</f>
        <v>0.122432517344936</v>
      </c>
      <c r="O157" s="323">
        <f>IF(O$9=1,'Raw Data Input'!$AN83,IF(O$9=2,'Raw Data Input'!$AT83,IF(O$9=3,'Raw Data Input'!$AZ83,IF(O$9=4,'Raw Data Input'!$BF83,IF(O$9=0,0)))))</f>
        <v>0.122432517344936</v>
      </c>
      <c r="P157" s="323">
        <f>IF(P$9=1,'Raw Data Input'!$AN83,IF(P$9=2,'Raw Data Input'!$AT83,IF(P$9=3,'Raw Data Input'!$AZ83,IF(P$9=4,'Raw Data Input'!$BF83,IF(P$9=0,0)))))</f>
        <v>0.122432517344936</v>
      </c>
      <c r="Q157" s="323">
        <f>IF(Q$9=1,'Raw Data Input'!$AN83,IF(Q$9=2,'Raw Data Input'!$AT83,IF(Q$9=3,'Raw Data Input'!$AZ83,IF(Q$9=4,'Raw Data Input'!$BF83,IF(Q$9=0,0)))))</f>
        <v>0.122432517344936</v>
      </c>
      <c r="R157" s="323">
        <f>IF(R$9=1,'Raw Data Input'!$AN83,IF(R$9=2,'Raw Data Input'!$AT83,IF(R$9=3,'Raw Data Input'!$AZ83,IF(R$9=4,'Raw Data Input'!$BF83,IF(R$9=0,0)))))</f>
        <v>0.122432517344936</v>
      </c>
      <c r="S157" s="323">
        <f>IF(S$9=1,'Raw Data Input'!$AN83,IF(S$9=2,'Raw Data Input'!$AT83,IF(S$9=3,'Raw Data Input'!$AZ83,IF(S$9=4,'Raw Data Input'!$BF83,IF(S$9=0,0)))))</f>
        <v>0.122432517344936</v>
      </c>
      <c r="T157" s="323">
        <f>IF(T$9=1,'Raw Data Input'!$AN83,IF(T$9=2,'Raw Data Input'!$AT83,IF(T$9=3,'Raw Data Input'!$AZ83,IF(T$9=4,'Raw Data Input'!$BF83,IF(T$9=0,0)))))</f>
        <v>0.122432517344936</v>
      </c>
      <c r="U157" s="323">
        <f>IF(U$9=1,'Raw Data Input'!$AN83,IF(U$9=2,'Raw Data Input'!$AT83,IF(U$9=3,'Raw Data Input'!$AZ83,IF(U$9=4,'Raw Data Input'!$BF83,IF(U$9=0,0)))))</f>
        <v>0.122432517344936</v>
      </c>
      <c r="V157" s="323">
        <f>IF(V$9=1,'Raw Data Input'!$AN83,IF(V$9=2,'Raw Data Input'!$AT83,IF(V$9=3,'Raw Data Input'!$AZ83,IF(V$9=4,'Raw Data Input'!$BF83,IF(V$9=0,0)))))</f>
        <v>0.122432517344936</v>
      </c>
      <c r="W157" s="323">
        <f>IF(W$9=1,'Raw Data Input'!$AN83,IF(W$9=2,'Raw Data Input'!$AT83,IF(W$9=3,'Raw Data Input'!$AZ83,IF(W$9=4,'Raw Data Input'!$BF83,IF(W$9=0,0)))))</f>
        <v>0.122432517344936</v>
      </c>
      <c r="X157" s="323">
        <f>IF(X$9=1,'Raw Data Input'!$AN83,IF(X$9=2,'Raw Data Input'!$AT83,IF(X$9=3,'Raw Data Input'!$AZ83,IF(X$9=4,'Raw Data Input'!$BF83,IF(X$9=0,0)))))</f>
        <v>0.122432517344936</v>
      </c>
      <c r="Y157" s="323">
        <f>IF(Y$9=1,'Raw Data Input'!$AN83,IF(Y$9=2,'Raw Data Input'!$AT83,IF(Y$9=3,'Raw Data Input'!$AZ83,IF(Y$9=4,'Raw Data Input'!$BF83,IF(Y$9=0,0)))))</f>
        <v>0.122432517344936</v>
      </c>
      <c r="Z157" s="323">
        <f>IF(Z$9=1,'Raw Data Input'!$AN83,IF(Z$9=2,'Raw Data Input'!$AT83,IF(Z$9=3,'Raw Data Input'!$AZ83,IF(Z$9=4,'Raw Data Input'!$BF83,IF(Z$9=0,0)))))</f>
        <v>0.122432517344936</v>
      </c>
      <c r="AA157" s="323">
        <f>IF(AA$9=1,'Raw Data Input'!$AN83,IF(AA$9=2,'Raw Data Input'!$AT83,IF(AA$9=3,'Raw Data Input'!$AZ83,IF(AA$9=4,'Raw Data Input'!$BF83,IF(AA$9=0,0)))))</f>
        <v>3.2175000000000002E-2</v>
      </c>
      <c r="AB157" s="323">
        <f>IF(AB$9=1,'Raw Data Input'!$AN83,IF(AB$9=2,'Raw Data Input'!$AT83,IF(AB$9=3,'Raw Data Input'!$AZ83,IF(AB$9=4,'Raw Data Input'!$BF83,IF(AB$9=0,0)))))</f>
        <v>3.2175000000000002E-2</v>
      </c>
      <c r="AC157" s="323">
        <f>IF(AC$9=1,'Raw Data Input'!$AN83,IF(AC$9=2,'Raw Data Input'!$AT83,IF(AC$9=3,'Raw Data Input'!$AZ83,IF(AC$9=4,'Raw Data Input'!$BF83,IF(AC$9=0,0)))))</f>
        <v>3.2175000000000002E-2</v>
      </c>
      <c r="AD157" s="323">
        <f>IF(AD$9=1,'Raw Data Input'!$AN83,IF(AD$9=2,'Raw Data Input'!$AT83,IF(AD$9=3,'Raw Data Input'!$AZ83,IF(AD$9=4,'Raw Data Input'!$BF83,IF(AD$9=0,0)))))</f>
        <v>3.2175000000000002E-2</v>
      </c>
      <c r="AE157" s="323">
        <f>IF(AE$9=1,'Raw Data Input'!$AN83,IF(AE$9=2,'Raw Data Input'!$AT83,IF(AE$9=3,'Raw Data Input'!$AZ83,IF(AE$9=4,'Raw Data Input'!$BF83,IF(AE$9=0,0)))))</f>
        <v>3.2175000000000002E-2</v>
      </c>
      <c r="AF157" s="323">
        <f>IF(AF$9=1,'Raw Data Input'!$AN83,IF(AF$9=2,'Raw Data Input'!$AT83,IF(AF$9=3,'Raw Data Input'!$AZ83,IF(AF$9=4,'Raw Data Input'!$BF83,IF(AF$9=0,0)))))</f>
        <v>3.2175000000000002E-2</v>
      </c>
      <c r="AG157" s="323"/>
    </row>
    <row r="158" spans="1:33" s="262" customFormat="1" x14ac:dyDescent="0.2">
      <c r="A158" s="198" t="s">
        <v>297</v>
      </c>
      <c r="B158" s="62"/>
      <c r="C158" s="323">
        <f>IF(C$9=1,'Raw Data Input'!$AM84,IF(C$9=2,'Raw Data Input'!$AS84,IF(C$9=3,'Raw Data Input'!$AY84,IF(C$9=4,'Raw Data Input'!$BE84,IF(C$9=0,0)))))</f>
        <v>2.8644243756331E-4</v>
      </c>
      <c r="D158" s="323">
        <f>IF(D$9=1,'Raw Data Input'!$AM84,IF(D$9=2,'Raw Data Input'!$AS84,IF(D$9=3,'Raw Data Input'!$AY84,IF(D$9=4,'Raw Data Input'!$BE84,IF(D$9=0,0)))))</f>
        <v>2.8644243756331E-4</v>
      </c>
      <c r="E158" s="323">
        <f>IF(E$9=1,'Raw Data Input'!$AM84,IF(E$9=2,'Raw Data Input'!$AS84,IF(E$9=3,'Raw Data Input'!$AY84,IF(E$9=4,'Raw Data Input'!$BE84,IF(E$9=0,0)))))</f>
        <v>2.8644243756331E-4</v>
      </c>
      <c r="F158" s="323">
        <f>IF(F$9=1,'Raw Data Input'!$AM84,IF(F$9=2,'Raw Data Input'!$AS84,IF(F$9=3,'Raw Data Input'!$AY84,IF(F$9=4,'Raw Data Input'!$BE84,IF(F$9=0,0)))))</f>
        <v>2.8644243756331E-4</v>
      </c>
      <c r="G158" s="323">
        <f>IF(G$9=1,'Raw Data Input'!$AM84,IF(G$9=2,'Raw Data Input'!$AS84,IF(G$9=3,'Raw Data Input'!$AY84,IF(G$9=4,'Raw Data Input'!$BE84,IF(G$9=0,0)))))</f>
        <v>2.8644243756331E-4</v>
      </c>
      <c r="H158" s="323">
        <f>IF(H$9=1,'Raw Data Input'!$AM84,IF(H$9=2,'Raw Data Input'!$AS84,IF(H$9=3,'Raw Data Input'!$AY84,IF(H$9=4,'Raw Data Input'!$BE84,IF(H$9=0,0)))))</f>
        <v>2.8644243756331E-4</v>
      </c>
      <c r="I158" s="323">
        <f>IF(I$9=1,'Raw Data Input'!$AM84,IF(I$9=2,'Raw Data Input'!$AS84,IF(I$9=3,'Raw Data Input'!$AY84,IF(I$9=4,'Raw Data Input'!$BE84,IF(I$9=0,0)))))</f>
        <v>2.8644243756331E-4</v>
      </c>
      <c r="J158" s="323">
        <f>IF(J$9=1,'Raw Data Input'!$AM84,IF(J$9=2,'Raw Data Input'!$AS84,IF(J$9=3,'Raw Data Input'!$AY84,IF(J$9=4,'Raw Data Input'!$BE84,IF(J$9=0,0)))))</f>
        <v>2.8644243756331E-4</v>
      </c>
      <c r="K158" s="323">
        <f>IF(K$9=1,'Raw Data Input'!$AM84,IF(K$9=2,'Raw Data Input'!$AS84,IF(K$9=3,'Raw Data Input'!$AY84,IF(K$9=4,'Raw Data Input'!$BE84,IF(K$9=0,0)))))</f>
        <v>8.9317765716676764E-5</v>
      </c>
      <c r="L158" s="323">
        <f>IF(L$9=1,'Raw Data Input'!$AM84,IF(L$9=2,'Raw Data Input'!$AS84,IF(L$9=3,'Raw Data Input'!$AY84,IF(L$9=4,'Raw Data Input'!$BE84,IF(L$9=0,0)))))</f>
        <v>8.9317765716676764E-5</v>
      </c>
      <c r="M158" s="323">
        <f>IF(M$9=1,'Raw Data Input'!$AM84,IF(M$9=2,'Raw Data Input'!$AS84,IF(M$9=3,'Raw Data Input'!$AY84,IF(M$9=4,'Raw Data Input'!$BE84,IF(M$9=0,0)))))</f>
        <v>8.9317765716676764E-5</v>
      </c>
      <c r="N158" s="323">
        <f>IF(N$9=1,'Raw Data Input'!$AM84,IF(N$9=2,'Raw Data Input'!$AS84,IF(N$9=3,'Raw Data Input'!$AY84,IF(N$9=4,'Raw Data Input'!$BE84,IF(N$9=0,0)))))</f>
        <v>8.9317765716676764E-5</v>
      </c>
      <c r="O158" s="323">
        <f>IF(O$9=1,'Raw Data Input'!$AM84,IF(O$9=2,'Raw Data Input'!$AS84,IF(O$9=3,'Raw Data Input'!$AY84,IF(O$9=4,'Raw Data Input'!$BE84,IF(O$9=0,0)))))</f>
        <v>8.9317765716676764E-5</v>
      </c>
      <c r="P158" s="323">
        <f>IF(P$9=1,'Raw Data Input'!$AM84,IF(P$9=2,'Raw Data Input'!$AS84,IF(P$9=3,'Raw Data Input'!$AY84,IF(P$9=4,'Raw Data Input'!$BE84,IF(P$9=0,0)))))</f>
        <v>8.9317765716676764E-5</v>
      </c>
      <c r="Q158" s="323">
        <f>IF(Q$9=1,'Raw Data Input'!$AM84,IF(Q$9=2,'Raw Data Input'!$AS84,IF(Q$9=3,'Raw Data Input'!$AY84,IF(Q$9=4,'Raw Data Input'!$BE84,IF(Q$9=0,0)))))</f>
        <v>8.9317765716676764E-5</v>
      </c>
      <c r="R158" s="323">
        <f>IF(R$9=1,'Raw Data Input'!$AM84,IF(R$9=2,'Raw Data Input'!$AS84,IF(R$9=3,'Raw Data Input'!$AY84,IF(R$9=4,'Raw Data Input'!$BE84,IF(R$9=0,0)))))</f>
        <v>1.1800557300536978E-4</v>
      </c>
      <c r="S158" s="323">
        <f>IF(S$9=1,'Raw Data Input'!$AM84,IF(S$9=2,'Raw Data Input'!$AS84,IF(S$9=3,'Raw Data Input'!$AY84,IF(S$9=4,'Raw Data Input'!$BE84,IF(S$9=0,0)))))</f>
        <v>1.1800557300536978E-4</v>
      </c>
      <c r="T158" s="323">
        <f>IF(T$9=1,'Raw Data Input'!$AM84,IF(T$9=2,'Raw Data Input'!$AS84,IF(T$9=3,'Raw Data Input'!$AY84,IF(T$9=4,'Raw Data Input'!$BE84,IF(T$9=0,0)))))</f>
        <v>1.1800557300536978E-4</v>
      </c>
      <c r="U158" s="323">
        <f>IF(U$9=1,'Raw Data Input'!$AM84,IF(U$9=2,'Raw Data Input'!$AS84,IF(U$9=3,'Raw Data Input'!$AY84,IF(U$9=4,'Raw Data Input'!$BE84,IF(U$9=0,0)))))</f>
        <v>1.1800557300536978E-4</v>
      </c>
      <c r="V158" s="323">
        <f>IF(V$9=1,'Raw Data Input'!$AM84,IF(V$9=2,'Raw Data Input'!$AS84,IF(V$9=3,'Raw Data Input'!$AY84,IF(V$9=4,'Raw Data Input'!$BE84,IF(V$9=0,0)))))</f>
        <v>1.1800557300536978E-4</v>
      </c>
      <c r="W158" s="323">
        <f>IF(W$9=1,'Raw Data Input'!$AM84,IF(W$9=2,'Raw Data Input'!$AS84,IF(W$9=3,'Raw Data Input'!$AY84,IF(W$9=4,'Raw Data Input'!$BE84,IF(W$9=0,0)))))</f>
        <v>1.1800557300536978E-4</v>
      </c>
      <c r="X158" s="323">
        <f>IF(X$9=1,'Raw Data Input'!$AM84,IF(X$9=2,'Raw Data Input'!$AS84,IF(X$9=3,'Raw Data Input'!$AY84,IF(X$9=4,'Raw Data Input'!$BE84,IF(X$9=0,0)))))</f>
        <v>1.1800557300536978E-4</v>
      </c>
      <c r="Y158" s="323">
        <f>IF(Y$9=1,'Raw Data Input'!$AM84,IF(Y$9=2,'Raw Data Input'!$AS84,IF(Y$9=3,'Raw Data Input'!$AY84,IF(Y$9=4,'Raw Data Input'!$BE84,IF(Y$9=0,0)))))</f>
        <v>1.1800557300536978E-4</v>
      </c>
      <c r="Z158" s="323">
        <f>IF(Z$9=1,'Raw Data Input'!$AM84,IF(Z$9=2,'Raw Data Input'!$AS84,IF(Z$9=3,'Raw Data Input'!$AY84,IF(Z$9=4,'Raw Data Input'!$BE84,IF(Z$9=0,0)))))</f>
        <v>1.1800557300536978E-4</v>
      </c>
      <c r="AA158" s="323">
        <f>IF(AA$9=1,'Raw Data Input'!$AM84,IF(AA$9=2,'Raw Data Input'!$AS84,IF(AA$9=3,'Raw Data Input'!$AY84,IF(AA$9=4,'Raw Data Input'!$BE84,IF(AA$9=0,0)))))</f>
        <v>2.8644243756331E-4</v>
      </c>
      <c r="AB158" s="323">
        <f>IF(AB$9=1,'Raw Data Input'!$AM84,IF(AB$9=2,'Raw Data Input'!$AS84,IF(AB$9=3,'Raw Data Input'!$AY84,IF(AB$9=4,'Raw Data Input'!$BE84,IF(AB$9=0,0)))))</f>
        <v>2.8644243756331E-4</v>
      </c>
      <c r="AC158" s="323">
        <f>IF(AC$9=1,'Raw Data Input'!$AM84,IF(AC$9=2,'Raw Data Input'!$AS84,IF(AC$9=3,'Raw Data Input'!$AY84,IF(AC$9=4,'Raw Data Input'!$BE84,IF(AC$9=0,0)))))</f>
        <v>2.8644243756331E-4</v>
      </c>
      <c r="AD158" s="323">
        <f>IF(AD$9=1,'Raw Data Input'!$AM84,IF(AD$9=2,'Raw Data Input'!$AS84,IF(AD$9=3,'Raw Data Input'!$AY84,IF(AD$9=4,'Raw Data Input'!$BE84,IF(AD$9=0,0)))))</f>
        <v>2.8644243756331E-4</v>
      </c>
      <c r="AE158" s="323">
        <f>IF(AE$9=1,'Raw Data Input'!$AM84,IF(AE$9=2,'Raw Data Input'!$AS84,IF(AE$9=3,'Raw Data Input'!$AY84,IF(AE$9=4,'Raw Data Input'!$BE84,IF(AE$9=0,0)))))</f>
        <v>2.8644243756331E-4</v>
      </c>
      <c r="AF158" s="323">
        <f>IF(AF$9=1,'Raw Data Input'!$AM84,IF(AF$9=2,'Raw Data Input'!$AS84,IF(AF$9=3,'Raw Data Input'!$AY84,IF(AF$9=4,'Raw Data Input'!$BE84,IF(AF$9=0,0)))))</f>
        <v>2.8644243756331E-4</v>
      </c>
      <c r="AG158" s="323"/>
    </row>
    <row r="159" spans="1:33" s="262" customFormat="1" x14ac:dyDescent="0.2">
      <c r="A159" s="212" t="s">
        <v>385</v>
      </c>
      <c r="B159" s="63"/>
      <c r="C159" s="323">
        <f>IF(C$9=1,'Raw Data Input'!$AN84,IF(C$9=2,'Raw Data Input'!$AT84,IF(C$9=3,'Raw Data Input'!$AZ84,IF(C$9=4,'Raw Data Input'!$BF84,IF(C$9=0,0)))))</f>
        <v>9.7559999999999994E-2</v>
      </c>
      <c r="D159" s="323">
        <f>IF(D$9=1,'Raw Data Input'!$AN84,IF(D$9=2,'Raw Data Input'!$AT84,IF(D$9=3,'Raw Data Input'!$AZ84,IF(D$9=4,'Raw Data Input'!$BF84,IF(D$9=0,0)))))</f>
        <v>9.7559999999999994E-2</v>
      </c>
      <c r="E159" s="323">
        <f>IF(E$9=1,'Raw Data Input'!$AN84,IF(E$9=2,'Raw Data Input'!$AT84,IF(E$9=3,'Raw Data Input'!$AZ84,IF(E$9=4,'Raw Data Input'!$BF84,IF(E$9=0,0)))))</f>
        <v>9.7559999999999994E-2</v>
      </c>
      <c r="F159" s="323">
        <f>IF(F$9=1,'Raw Data Input'!$AN84,IF(F$9=2,'Raw Data Input'!$AT84,IF(F$9=3,'Raw Data Input'!$AZ84,IF(F$9=4,'Raw Data Input'!$BF84,IF(F$9=0,0)))))</f>
        <v>9.7559999999999994E-2</v>
      </c>
      <c r="G159" s="323">
        <f>IF(G$9=1,'Raw Data Input'!$AN84,IF(G$9=2,'Raw Data Input'!$AT84,IF(G$9=3,'Raw Data Input'!$AZ84,IF(G$9=4,'Raw Data Input'!$BF84,IF(G$9=0,0)))))</f>
        <v>9.7559999999999994E-2</v>
      </c>
      <c r="H159" s="323">
        <f>IF(H$9=1,'Raw Data Input'!$AN84,IF(H$9=2,'Raw Data Input'!$AT84,IF(H$9=3,'Raw Data Input'!$AZ84,IF(H$9=4,'Raw Data Input'!$BF84,IF(H$9=0,0)))))</f>
        <v>9.7559999999999994E-2</v>
      </c>
      <c r="I159" s="323">
        <f>IF(I$9=1,'Raw Data Input'!$AN84,IF(I$9=2,'Raw Data Input'!$AT84,IF(I$9=3,'Raw Data Input'!$AZ84,IF(I$9=4,'Raw Data Input'!$BF84,IF(I$9=0,0)))))</f>
        <v>9.7559999999999994E-2</v>
      </c>
      <c r="J159" s="323">
        <f>IF(J$9=1,'Raw Data Input'!$AN84,IF(J$9=2,'Raw Data Input'!$AT84,IF(J$9=3,'Raw Data Input'!$AZ84,IF(J$9=4,'Raw Data Input'!$BF84,IF(J$9=0,0)))))</f>
        <v>9.7559999999999994E-2</v>
      </c>
      <c r="K159" s="323">
        <f>IF(K$9=1,'Raw Data Input'!$AN84,IF(K$9=2,'Raw Data Input'!$AT84,IF(K$9=3,'Raw Data Input'!$AZ84,IF(K$9=4,'Raw Data Input'!$BF84,IF(K$9=0,0)))))</f>
        <v>0.14238000497828779</v>
      </c>
      <c r="L159" s="323">
        <f>IF(L$9=1,'Raw Data Input'!$AN84,IF(L$9=2,'Raw Data Input'!$AT84,IF(L$9=3,'Raw Data Input'!$AZ84,IF(L$9=4,'Raw Data Input'!$BF84,IF(L$9=0,0)))))</f>
        <v>0.14238000497828779</v>
      </c>
      <c r="M159" s="323">
        <f>IF(M$9=1,'Raw Data Input'!$AN84,IF(M$9=2,'Raw Data Input'!$AT84,IF(M$9=3,'Raw Data Input'!$AZ84,IF(M$9=4,'Raw Data Input'!$BF84,IF(M$9=0,0)))))</f>
        <v>0.14238000497828779</v>
      </c>
      <c r="N159" s="323">
        <f>IF(N$9=1,'Raw Data Input'!$AN84,IF(N$9=2,'Raw Data Input'!$AT84,IF(N$9=3,'Raw Data Input'!$AZ84,IF(N$9=4,'Raw Data Input'!$BF84,IF(N$9=0,0)))))</f>
        <v>0.14238000497828779</v>
      </c>
      <c r="O159" s="323">
        <f>IF(O$9=1,'Raw Data Input'!$AN84,IF(O$9=2,'Raw Data Input'!$AT84,IF(O$9=3,'Raw Data Input'!$AZ84,IF(O$9=4,'Raw Data Input'!$BF84,IF(O$9=0,0)))))</f>
        <v>0.14238000497828779</v>
      </c>
      <c r="P159" s="323">
        <f>IF(P$9=1,'Raw Data Input'!$AN84,IF(P$9=2,'Raw Data Input'!$AT84,IF(P$9=3,'Raw Data Input'!$AZ84,IF(P$9=4,'Raw Data Input'!$BF84,IF(P$9=0,0)))))</f>
        <v>0.14238000497828779</v>
      </c>
      <c r="Q159" s="323">
        <f>IF(Q$9=1,'Raw Data Input'!$AN84,IF(Q$9=2,'Raw Data Input'!$AT84,IF(Q$9=3,'Raw Data Input'!$AZ84,IF(Q$9=4,'Raw Data Input'!$BF84,IF(Q$9=0,0)))))</f>
        <v>0.14238000497828779</v>
      </c>
      <c r="R159" s="323">
        <f>IF(R$9=1,'Raw Data Input'!$AN84,IF(R$9=2,'Raw Data Input'!$AT84,IF(R$9=3,'Raw Data Input'!$AZ84,IF(R$9=4,'Raw Data Input'!$BF84,IF(R$9=0,0)))))</f>
        <v>0.14238000497828779</v>
      </c>
      <c r="S159" s="323">
        <f>IF(S$9=1,'Raw Data Input'!$AN84,IF(S$9=2,'Raw Data Input'!$AT84,IF(S$9=3,'Raw Data Input'!$AZ84,IF(S$9=4,'Raw Data Input'!$BF84,IF(S$9=0,0)))))</f>
        <v>0.14238000497828779</v>
      </c>
      <c r="T159" s="323">
        <f>IF(T$9=1,'Raw Data Input'!$AN84,IF(T$9=2,'Raw Data Input'!$AT84,IF(T$9=3,'Raw Data Input'!$AZ84,IF(T$9=4,'Raw Data Input'!$BF84,IF(T$9=0,0)))))</f>
        <v>0.14238000497828779</v>
      </c>
      <c r="U159" s="323">
        <f>IF(U$9=1,'Raw Data Input'!$AN84,IF(U$9=2,'Raw Data Input'!$AT84,IF(U$9=3,'Raw Data Input'!$AZ84,IF(U$9=4,'Raw Data Input'!$BF84,IF(U$9=0,0)))))</f>
        <v>0.14238000497828779</v>
      </c>
      <c r="V159" s="323">
        <f>IF(V$9=1,'Raw Data Input'!$AN84,IF(V$9=2,'Raw Data Input'!$AT84,IF(V$9=3,'Raw Data Input'!$AZ84,IF(V$9=4,'Raw Data Input'!$BF84,IF(V$9=0,0)))))</f>
        <v>0.14238000497828779</v>
      </c>
      <c r="W159" s="323">
        <f>IF(W$9=1,'Raw Data Input'!$AN84,IF(W$9=2,'Raw Data Input'!$AT84,IF(W$9=3,'Raw Data Input'!$AZ84,IF(W$9=4,'Raw Data Input'!$BF84,IF(W$9=0,0)))))</f>
        <v>0.14238000497828779</v>
      </c>
      <c r="X159" s="323">
        <f>IF(X$9=1,'Raw Data Input'!$AN84,IF(X$9=2,'Raw Data Input'!$AT84,IF(X$9=3,'Raw Data Input'!$AZ84,IF(X$9=4,'Raw Data Input'!$BF84,IF(X$9=0,0)))))</f>
        <v>0.14238000497828779</v>
      </c>
      <c r="Y159" s="323">
        <f>IF(Y$9=1,'Raw Data Input'!$AN84,IF(Y$9=2,'Raw Data Input'!$AT84,IF(Y$9=3,'Raw Data Input'!$AZ84,IF(Y$9=4,'Raw Data Input'!$BF84,IF(Y$9=0,0)))))</f>
        <v>0.14238000497828779</v>
      </c>
      <c r="Z159" s="323">
        <f>IF(Z$9=1,'Raw Data Input'!$AN84,IF(Z$9=2,'Raw Data Input'!$AT84,IF(Z$9=3,'Raw Data Input'!$AZ84,IF(Z$9=4,'Raw Data Input'!$BF84,IF(Z$9=0,0)))))</f>
        <v>0.14238000497828779</v>
      </c>
      <c r="AA159" s="323">
        <f>IF(AA$9=1,'Raw Data Input'!$AN84,IF(AA$9=2,'Raw Data Input'!$AT84,IF(AA$9=3,'Raw Data Input'!$AZ84,IF(AA$9=4,'Raw Data Input'!$BF84,IF(AA$9=0,0)))))</f>
        <v>9.7559999999999994E-2</v>
      </c>
      <c r="AB159" s="323">
        <f>IF(AB$9=1,'Raw Data Input'!$AN84,IF(AB$9=2,'Raw Data Input'!$AT84,IF(AB$9=3,'Raw Data Input'!$AZ84,IF(AB$9=4,'Raw Data Input'!$BF84,IF(AB$9=0,0)))))</f>
        <v>9.7559999999999994E-2</v>
      </c>
      <c r="AC159" s="323">
        <f>IF(AC$9=1,'Raw Data Input'!$AN84,IF(AC$9=2,'Raw Data Input'!$AT84,IF(AC$9=3,'Raw Data Input'!$AZ84,IF(AC$9=4,'Raw Data Input'!$BF84,IF(AC$9=0,0)))))</f>
        <v>9.7559999999999994E-2</v>
      </c>
      <c r="AD159" s="323">
        <f>IF(AD$9=1,'Raw Data Input'!$AN84,IF(AD$9=2,'Raw Data Input'!$AT84,IF(AD$9=3,'Raw Data Input'!$AZ84,IF(AD$9=4,'Raw Data Input'!$BF84,IF(AD$9=0,0)))))</f>
        <v>9.7559999999999994E-2</v>
      </c>
      <c r="AE159" s="323">
        <f>IF(AE$9=1,'Raw Data Input'!$AN84,IF(AE$9=2,'Raw Data Input'!$AT84,IF(AE$9=3,'Raw Data Input'!$AZ84,IF(AE$9=4,'Raw Data Input'!$BF84,IF(AE$9=0,0)))))</f>
        <v>9.7559999999999994E-2</v>
      </c>
      <c r="AF159" s="323">
        <f>IF(AF$9=1,'Raw Data Input'!$AN84,IF(AF$9=2,'Raw Data Input'!$AT84,IF(AF$9=3,'Raw Data Input'!$AZ84,IF(AF$9=4,'Raw Data Input'!$BF84,IF(AF$9=0,0)))))</f>
        <v>9.7559999999999994E-2</v>
      </c>
      <c r="AG159" s="323"/>
    </row>
    <row r="160" spans="1:33" s="262" customFormat="1" x14ac:dyDescent="0.2">
      <c r="A160" s="198" t="s">
        <v>309</v>
      </c>
      <c r="B160" s="63"/>
      <c r="C160" s="323">
        <f>IF(C$9=1,'Raw Data Input'!$AM85,IF(C$9=2,'Raw Data Input'!$AS85,IF(C$9=3,'Raw Data Input'!$AY85,IF(C$9=4,'Raw Data Input'!$BE85,IF(C$9=0,0)))))</f>
        <v>9.0588000000000005E-3</v>
      </c>
      <c r="D160" s="323">
        <f>IF(D$9=1,'Raw Data Input'!$AM85,IF(D$9=2,'Raw Data Input'!$AS85,IF(D$9=3,'Raw Data Input'!$AY85,IF(D$9=4,'Raw Data Input'!$BE85,IF(D$9=0,0)))))</f>
        <v>9.0588000000000005E-3</v>
      </c>
      <c r="E160" s="323">
        <f>IF(E$9=1,'Raw Data Input'!$AM85,IF(E$9=2,'Raw Data Input'!$AS85,IF(E$9=3,'Raw Data Input'!$AY85,IF(E$9=4,'Raw Data Input'!$BE85,IF(E$9=0,0)))))</f>
        <v>9.0588000000000005E-3</v>
      </c>
      <c r="F160" s="323">
        <f>IF(F$9=1,'Raw Data Input'!$AM85,IF(F$9=2,'Raw Data Input'!$AS85,IF(F$9=3,'Raw Data Input'!$AY85,IF(F$9=4,'Raw Data Input'!$BE85,IF(F$9=0,0)))))</f>
        <v>9.0588000000000005E-3</v>
      </c>
      <c r="G160" s="323">
        <f>IF(G$9=1,'Raw Data Input'!$AM85,IF(G$9=2,'Raw Data Input'!$AS85,IF(G$9=3,'Raw Data Input'!$AY85,IF(G$9=4,'Raw Data Input'!$BE85,IF(G$9=0,0)))))</f>
        <v>9.0588000000000005E-3</v>
      </c>
      <c r="H160" s="323">
        <f>IF(H$9=1,'Raw Data Input'!$AM85,IF(H$9=2,'Raw Data Input'!$AS85,IF(H$9=3,'Raw Data Input'!$AY85,IF(H$9=4,'Raw Data Input'!$BE85,IF(H$9=0,0)))))</f>
        <v>9.0588000000000005E-3</v>
      </c>
      <c r="I160" s="323">
        <f>IF(I$9=1,'Raw Data Input'!$AM85,IF(I$9=2,'Raw Data Input'!$AS85,IF(I$9=3,'Raw Data Input'!$AY85,IF(I$9=4,'Raw Data Input'!$BE85,IF(I$9=0,0)))))</f>
        <v>9.0588000000000005E-3</v>
      </c>
      <c r="J160" s="323">
        <f>IF(J$9=1,'Raw Data Input'!$AM85,IF(J$9=2,'Raw Data Input'!$AS85,IF(J$9=3,'Raw Data Input'!$AY85,IF(J$9=4,'Raw Data Input'!$BE85,IF(J$9=0,0)))))</f>
        <v>9.0588000000000005E-3</v>
      </c>
      <c r="K160" s="323">
        <f>IF(K$9=1,'Raw Data Input'!$AM85,IF(K$9=2,'Raw Data Input'!$AS85,IF(K$9=3,'Raw Data Input'!$AY85,IF(K$9=4,'Raw Data Input'!$BE85,IF(K$9=0,0)))))</f>
        <v>8.8005171041215594E-4</v>
      </c>
      <c r="L160" s="323">
        <f>IF(L$9=1,'Raw Data Input'!$AM85,IF(L$9=2,'Raw Data Input'!$AS85,IF(L$9=3,'Raw Data Input'!$AY85,IF(L$9=4,'Raw Data Input'!$BE85,IF(L$9=0,0)))))</f>
        <v>8.8005171041215594E-4</v>
      </c>
      <c r="M160" s="323">
        <f>IF(M$9=1,'Raw Data Input'!$AM85,IF(M$9=2,'Raw Data Input'!$AS85,IF(M$9=3,'Raw Data Input'!$AY85,IF(M$9=4,'Raw Data Input'!$BE85,IF(M$9=0,0)))))</f>
        <v>8.8005171041215594E-4</v>
      </c>
      <c r="N160" s="323">
        <f>IF(N$9=1,'Raw Data Input'!$AM85,IF(N$9=2,'Raw Data Input'!$AS85,IF(N$9=3,'Raw Data Input'!$AY85,IF(N$9=4,'Raw Data Input'!$BE85,IF(N$9=0,0)))))</f>
        <v>8.8005171041215594E-4</v>
      </c>
      <c r="O160" s="323">
        <f>IF(O$9=1,'Raw Data Input'!$AM85,IF(O$9=2,'Raw Data Input'!$AS85,IF(O$9=3,'Raw Data Input'!$AY85,IF(O$9=4,'Raw Data Input'!$BE85,IF(O$9=0,0)))))</f>
        <v>8.8005171041215594E-4</v>
      </c>
      <c r="P160" s="323">
        <f>IF(P$9=1,'Raw Data Input'!$AM85,IF(P$9=2,'Raw Data Input'!$AS85,IF(P$9=3,'Raw Data Input'!$AY85,IF(P$9=4,'Raw Data Input'!$BE85,IF(P$9=0,0)))))</f>
        <v>8.8005171041215594E-4</v>
      </c>
      <c r="Q160" s="323">
        <f>IF(Q$9=1,'Raw Data Input'!$AM85,IF(Q$9=2,'Raw Data Input'!$AS85,IF(Q$9=3,'Raw Data Input'!$AY85,IF(Q$9=4,'Raw Data Input'!$BE85,IF(Q$9=0,0)))))</f>
        <v>8.8005171041215594E-4</v>
      </c>
      <c r="R160" s="323">
        <f>IF(R$9=1,'Raw Data Input'!$AM85,IF(R$9=2,'Raw Data Input'!$AS85,IF(R$9=3,'Raw Data Input'!$AY85,IF(R$9=4,'Raw Data Input'!$BE85,IF(R$9=0,0)))))</f>
        <v>1.5686606158324355E-3</v>
      </c>
      <c r="S160" s="323">
        <f>IF(S$9=1,'Raw Data Input'!$AM85,IF(S$9=2,'Raw Data Input'!$AS85,IF(S$9=3,'Raw Data Input'!$AY85,IF(S$9=4,'Raw Data Input'!$BE85,IF(S$9=0,0)))))</f>
        <v>1.5686606158324355E-3</v>
      </c>
      <c r="T160" s="323">
        <f>IF(T$9=1,'Raw Data Input'!$AM85,IF(T$9=2,'Raw Data Input'!$AS85,IF(T$9=3,'Raw Data Input'!$AY85,IF(T$9=4,'Raw Data Input'!$BE85,IF(T$9=0,0)))))</f>
        <v>1.5686606158324355E-3</v>
      </c>
      <c r="U160" s="323">
        <f>IF(U$9=1,'Raw Data Input'!$AM85,IF(U$9=2,'Raw Data Input'!$AS85,IF(U$9=3,'Raw Data Input'!$AY85,IF(U$9=4,'Raw Data Input'!$BE85,IF(U$9=0,0)))))</f>
        <v>1.5686606158324355E-3</v>
      </c>
      <c r="V160" s="323">
        <f>IF(V$9=1,'Raw Data Input'!$AM85,IF(V$9=2,'Raw Data Input'!$AS85,IF(V$9=3,'Raw Data Input'!$AY85,IF(V$9=4,'Raw Data Input'!$BE85,IF(V$9=0,0)))))</f>
        <v>1.5686606158324355E-3</v>
      </c>
      <c r="W160" s="323">
        <f>IF(W$9=1,'Raw Data Input'!$AM85,IF(W$9=2,'Raw Data Input'!$AS85,IF(W$9=3,'Raw Data Input'!$AY85,IF(W$9=4,'Raw Data Input'!$BE85,IF(W$9=0,0)))))</f>
        <v>1.5686606158324355E-3</v>
      </c>
      <c r="X160" s="323">
        <f>IF(X$9=1,'Raw Data Input'!$AM85,IF(X$9=2,'Raw Data Input'!$AS85,IF(X$9=3,'Raw Data Input'!$AY85,IF(X$9=4,'Raw Data Input'!$BE85,IF(X$9=0,0)))))</f>
        <v>1.5686606158324355E-3</v>
      </c>
      <c r="Y160" s="323">
        <f>IF(Y$9=1,'Raw Data Input'!$AM85,IF(Y$9=2,'Raw Data Input'!$AS85,IF(Y$9=3,'Raw Data Input'!$AY85,IF(Y$9=4,'Raw Data Input'!$BE85,IF(Y$9=0,0)))))</f>
        <v>1.5686606158324355E-3</v>
      </c>
      <c r="Z160" s="323">
        <f>IF(Z$9=1,'Raw Data Input'!$AM85,IF(Z$9=2,'Raw Data Input'!$AS85,IF(Z$9=3,'Raw Data Input'!$AY85,IF(Z$9=4,'Raw Data Input'!$BE85,IF(Z$9=0,0)))))</f>
        <v>1.5686606158324355E-3</v>
      </c>
      <c r="AA160" s="323">
        <f>IF(AA$9=1,'Raw Data Input'!$AM85,IF(AA$9=2,'Raw Data Input'!$AS85,IF(AA$9=3,'Raw Data Input'!$AY85,IF(AA$9=4,'Raw Data Input'!$BE85,IF(AA$9=0,0)))))</f>
        <v>9.0588000000000005E-3</v>
      </c>
      <c r="AB160" s="323">
        <f>IF(AB$9=1,'Raw Data Input'!$AM85,IF(AB$9=2,'Raw Data Input'!$AS85,IF(AB$9=3,'Raw Data Input'!$AY85,IF(AB$9=4,'Raw Data Input'!$BE85,IF(AB$9=0,0)))))</f>
        <v>9.0588000000000005E-3</v>
      </c>
      <c r="AC160" s="323">
        <f>IF(AC$9=1,'Raw Data Input'!$AM85,IF(AC$9=2,'Raw Data Input'!$AS85,IF(AC$9=3,'Raw Data Input'!$AY85,IF(AC$9=4,'Raw Data Input'!$BE85,IF(AC$9=0,0)))))</f>
        <v>9.0588000000000005E-3</v>
      </c>
      <c r="AD160" s="323">
        <f>IF(AD$9=1,'Raw Data Input'!$AM85,IF(AD$9=2,'Raw Data Input'!$AS85,IF(AD$9=3,'Raw Data Input'!$AY85,IF(AD$9=4,'Raw Data Input'!$BE85,IF(AD$9=0,0)))))</f>
        <v>9.0588000000000005E-3</v>
      </c>
      <c r="AE160" s="323">
        <f>IF(AE$9=1,'Raw Data Input'!$AM85,IF(AE$9=2,'Raw Data Input'!$AS85,IF(AE$9=3,'Raw Data Input'!$AY85,IF(AE$9=4,'Raw Data Input'!$BE85,IF(AE$9=0,0)))))</f>
        <v>9.0588000000000005E-3</v>
      </c>
      <c r="AF160" s="323">
        <f>IF(AF$9=1,'Raw Data Input'!$AM85,IF(AF$9=2,'Raw Data Input'!$AS85,IF(AF$9=3,'Raw Data Input'!$AY85,IF(AF$9=4,'Raw Data Input'!$BE85,IF(AF$9=0,0)))))</f>
        <v>9.0588000000000005E-3</v>
      </c>
      <c r="AG160" s="323"/>
    </row>
    <row r="161" spans="1:33" s="262" customFormat="1" x14ac:dyDescent="0.2">
      <c r="A161" s="212" t="s">
        <v>385</v>
      </c>
      <c r="B161" s="63"/>
      <c r="C161" s="323">
        <f>IF(C$9=1,'Raw Data Input'!$AN85,IF(C$9=2,'Raw Data Input'!$AT85,IF(C$9=3,'Raw Data Input'!$AZ85,IF(C$9=4,'Raw Data Input'!$BF85,IF(C$9=0,0)))))</f>
        <v>2.4549999999999999E-2</v>
      </c>
      <c r="D161" s="323">
        <f>IF(D$9=1,'Raw Data Input'!$AN85,IF(D$9=2,'Raw Data Input'!$AT85,IF(D$9=3,'Raw Data Input'!$AZ85,IF(D$9=4,'Raw Data Input'!$BF85,IF(D$9=0,0)))))</f>
        <v>2.4549999999999999E-2</v>
      </c>
      <c r="E161" s="323">
        <f>IF(E$9=1,'Raw Data Input'!$AN85,IF(E$9=2,'Raw Data Input'!$AT85,IF(E$9=3,'Raw Data Input'!$AZ85,IF(E$9=4,'Raw Data Input'!$BF85,IF(E$9=0,0)))))</f>
        <v>2.4549999999999999E-2</v>
      </c>
      <c r="F161" s="323">
        <f>IF(F$9=1,'Raw Data Input'!$AN85,IF(F$9=2,'Raw Data Input'!$AT85,IF(F$9=3,'Raw Data Input'!$AZ85,IF(F$9=4,'Raw Data Input'!$BF85,IF(F$9=0,0)))))</f>
        <v>2.4549999999999999E-2</v>
      </c>
      <c r="G161" s="323">
        <f>IF(G$9=1,'Raw Data Input'!$AN85,IF(G$9=2,'Raw Data Input'!$AT85,IF(G$9=3,'Raw Data Input'!$AZ85,IF(G$9=4,'Raw Data Input'!$BF85,IF(G$9=0,0)))))</f>
        <v>2.4549999999999999E-2</v>
      </c>
      <c r="H161" s="323">
        <f>IF(H$9=1,'Raw Data Input'!$AN85,IF(H$9=2,'Raw Data Input'!$AT85,IF(H$9=3,'Raw Data Input'!$AZ85,IF(H$9=4,'Raw Data Input'!$BF85,IF(H$9=0,0)))))</f>
        <v>2.4549999999999999E-2</v>
      </c>
      <c r="I161" s="323">
        <f>IF(I$9=1,'Raw Data Input'!$AN85,IF(I$9=2,'Raw Data Input'!$AT85,IF(I$9=3,'Raw Data Input'!$AZ85,IF(I$9=4,'Raw Data Input'!$BF85,IF(I$9=0,0)))))</f>
        <v>2.4549999999999999E-2</v>
      </c>
      <c r="J161" s="323">
        <f>IF(J$9=1,'Raw Data Input'!$AN85,IF(J$9=2,'Raw Data Input'!$AT85,IF(J$9=3,'Raw Data Input'!$AZ85,IF(J$9=4,'Raw Data Input'!$BF85,IF(J$9=0,0)))))</f>
        <v>2.4549999999999999E-2</v>
      </c>
      <c r="K161" s="323">
        <f>IF(K$9=1,'Raw Data Input'!$AN85,IF(K$9=2,'Raw Data Input'!$AT85,IF(K$9=3,'Raw Data Input'!$AZ85,IF(K$9=4,'Raw Data Input'!$BF85,IF(K$9=0,0)))))</f>
        <v>0.1611039883397542</v>
      </c>
      <c r="L161" s="323">
        <f>IF(L$9=1,'Raw Data Input'!$AN85,IF(L$9=2,'Raw Data Input'!$AT85,IF(L$9=3,'Raw Data Input'!$AZ85,IF(L$9=4,'Raw Data Input'!$BF85,IF(L$9=0,0)))))</f>
        <v>0.1611039883397542</v>
      </c>
      <c r="M161" s="323">
        <f>IF(M$9=1,'Raw Data Input'!$AN85,IF(M$9=2,'Raw Data Input'!$AT85,IF(M$9=3,'Raw Data Input'!$AZ85,IF(M$9=4,'Raw Data Input'!$BF85,IF(M$9=0,0)))))</f>
        <v>0.1611039883397542</v>
      </c>
      <c r="N161" s="323">
        <f>IF(N$9=1,'Raw Data Input'!$AN85,IF(N$9=2,'Raw Data Input'!$AT85,IF(N$9=3,'Raw Data Input'!$AZ85,IF(N$9=4,'Raw Data Input'!$BF85,IF(N$9=0,0)))))</f>
        <v>0.1611039883397542</v>
      </c>
      <c r="O161" s="323">
        <f>IF(O$9=1,'Raw Data Input'!$AN85,IF(O$9=2,'Raw Data Input'!$AT85,IF(O$9=3,'Raw Data Input'!$AZ85,IF(O$9=4,'Raw Data Input'!$BF85,IF(O$9=0,0)))))</f>
        <v>0.1611039883397542</v>
      </c>
      <c r="P161" s="323">
        <f>IF(P$9=1,'Raw Data Input'!$AN85,IF(P$9=2,'Raw Data Input'!$AT85,IF(P$9=3,'Raw Data Input'!$AZ85,IF(P$9=4,'Raw Data Input'!$BF85,IF(P$9=0,0)))))</f>
        <v>0.1611039883397542</v>
      </c>
      <c r="Q161" s="323">
        <f>IF(Q$9=1,'Raw Data Input'!$AN85,IF(Q$9=2,'Raw Data Input'!$AT85,IF(Q$9=3,'Raw Data Input'!$AZ85,IF(Q$9=4,'Raw Data Input'!$BF85,IF(Q$9=0,0)))))</f>
        <v>0.1611039883397542</v>
      </c>
      <c r="R161" s="323">
        <f>IF(R$9=1,'Raw Data Input'!$AN85,IF(R$9=2,'Raw Data Input'!$AT85,IF(R$9=3,'Raw Data Input'!$AZ85,IF(R$9=4,'Raw Data Input'!$BF85,IF(R$9=0,0)))))</f>
        <v>0.1611039883397542</v>
      </c>
      <c r="S161" s="323">
        <f>IF(S$9=1,'Raw Data Input'!$AN85,IF(S$9=2,'Raw Data Input'!$AT85,IF(S$9=3,'Raw Data Input'!$AZ85,IF(S$9=4,'Raw Data Input'!$BF85,IF(S$9=0,0)))))</f>
        <v>0.1611039883397542</v>
      </c>
      <c r="T161" s="323">
        <f>IF(T$9=1,'Raw Data Input'!$AN85,IF(T$9=2,'Raw Data Input'!$AT85,IF(T$9=3,'Raw Data Input'!$AZ85,IF(T$9=4,'Raw Data Input'!$BF85,IF(T$9=0,0)))))</f>
        <v>0.1611039883397542</v>
      </c>
      <c r="U161" s="323">
        <f>IF(U$9=1,'Raw Data Input'!$AN85,IF(U$9=2,'Raw Data Input'!$AT85,IF(U$9=3,'Raw Data Input'!$AZ85,IF(U$9=4,'Raw Data Input'!$BF85,IF(U$9=0,0)))))</f>
        <v>0.1611039883397542</v>
      </c>
      <c r="V161" s="323">
        <f>IF(V$9=1,'Raw Data Input'!$AN85,IF(V$9=2,'Raw Data Input'!$AT85,IF(V$9=3,'Raw Data Input'!$AZ85,IF(V$9=4,'Raw Data Input'!$BF85,IF(V$9=0,0)))))</f>
        <v>0.1611039883397542</v>
      </c>
      <c r="W161" s="323">
        <f>IF(W$9=1,'Raw Data Input'!$AN85,IF(W$9=2,'Raw Data Input'!$AT85,IF(W$9=3,'Raw Data Input'!$AZ85,IF(W$9=4,'Raw Data Input'!$BF85,IF(W$9=0,0)))))</f>
        <v>0.1611039883397542</v>
      </c>
      <c r="X161" s="323">
        <f>IF(X$9=1,'Raw Data Input'!$AN85,IF(X$9=2,'Raw Data Input'!$AT85,IF(X$9=3,'Raw Data Input'!$AZ85,IF(X$9=4,'Raw Data Input'!$BF85,IF(X$9=0,0)))))</f>
        <v>0.1611039883397542</v>
      </c>
      <c r="Y161" s="323">
        <f>IF(Y$9=1,'Raw Data Input'!$AN85,IF(Y$9=2,'Raw Data Input'!$AT85,IF(Y$9=3,'Raw Data Input'!$AZ85,IF(Y$9=4,'Raw Data Input'!$BF85,IF(Y$9=0,0)))))</f>
        <v>0.1611039883397542</v>
      </c>
      <c r="Z161" s="323">
        <f>IF(Z$9=1,'Raw Data Input'!$AN85,IF(Z$9=2,'Raw Data Input'!$AT85,IF(Z$9=3,'Raw Data Input'!$AZ85,IF(Z$9=4,'Raw Data Input'!$BF85,IF(Z$9=0,0)))))</f>
        <v>0.1611039883397542</v>
      </c>
      <c r="AA161" s="323">
        <f>IF(AA$9=1,'Raw Data Input'!$AN85,IF(AA$9=2,'Raw Data Input'!$AT85,IF(AA$9=3,'Raw Data Input'!$AZ85,IF(AA$9=4,'Raw Data Input'!$BF85,IF(AA$9=0,0)))))</f>
        <v>2.4549999999999999E-2</v>
      </c>
      <c r="AB161" s="323">
        <f>IF(AB$9=1,'Raw Data Input'!$AN85,IF(AB$9=2,'Raw Data Input'!$AT85,IF(AB$9=3,'Raw Data Input'!$AZ85,IF(AB$9=4,'Raw Data Input'!$BF85,IF(AB$9=0,0)))))</f>
        <v>2.4549999999999999E-2</v>
      </c>
      <c r="AC161" s="323">
        <f>IF(AC$9=1,'Raw Data Input'!$AN85,IF(AC$9=2,'Raw Data Input'!$AT85,IF(AC$9=3,'Raw Data Input'!$AZ85,IF(AC$9=4,'Raw Data Input'!$BF85,IF(AC$9=0,0)))))</f>
        <v>2.4549999999999999E-2</v>
      </c>
      <c r="AD161" s="323">
        <f>IF(AD$9=1,'Raw Data Input'!$AN85,IF(AD$9=2,'Raw Data Input'!$AT85,IF(AD$9=3,'Raw Data Input'!$AZ85,IF(AD$9=4,'Raw Data Input'!$BF85,IF(AD$9=0,0)))))</f>
        <v>2.4549999999999999E-2</v>
      </c>
      <c r="AE161" s="323">
        <f>IF(AE$9=1,'Raw Data Input'!$AN85,IF(AE$9=2,'Raw Data Input'!$AT85,IF(AE$9=3,'Raw Data Input'!$AZ85,IF(AE$9=4,'Raw Data Input'!$BF85,IF(AE$9=0,0)))))</f>
        <v>2.4549999999999999E-2</v>
      </c>
      <c r="AF161" s="323">
        <f>IF(AF$9=1,'Raw Data Input'!$AN85,IF(AF$9=2,'Raw Data Input'!$AT85,IF(AF$9=3,'Raw Data Input'!$AZ85,IF(AF$9=4,'Raw Data Input'!$BF85,IF(AF$9=0,0)))))</f>
        <v>2.4549999999999999E-2</v>
      </c>
      <c r="AG161" s="323"/>
    </row>
    <row r="162" spans="1:33" s="262" customFormat="1" x14ac:dyDescent="0.2">
      <c r="A162" s="198" t="s">
        <v>298</v>
      </c>
      <c r="B162" s="62"/>
      <c r="C162" s="323">
        <f>IF(C$9=1,'Raw Data Input'!$AM86,IF(C$9=2,'Raw Data Input'!$AS86,IF(C$9=3,'Raw Data Input'!$AY86,IF(C$9=4,'Raw Data Input'!$BE86,IF(C$9=0,0)))))</f>
        <v>0.88835792260484781</v>
      </c>
      <c r="D162" s="323">
        <f>IF(D$9=1,'Raw Data Input'!$AM86,IF(D$9=2,'Raw Data Input'!$AS86,IF(D$9=3,'Raw Data Input'!$AY86,IF(D$9=4,'Raw Data Input'!$BE86,IF(D$9=0,0)))))</f>
        <v>0.88835792260484781</v>
      </c>
      <c r="E162" s="323">
        <f>IF(E$9=1,'Raw Data Input'!$AM86,IF(E$9=2,'Raw Data Input'!$AS86,IF(E$9=3,'Raw Data Input'!$AY86,IF(E$9=4,'Raw Data Input'!$BE86,IF(E$9=0,0)))))</f>
        <v>0.88835792260484781</v>
      </c>
      <c r="F162" s="323">
        <f>IF(F$9=1,'Raw Data Input'!$AM86,IF(F$9=2,'Raw Data Input'!$AS86,IF(F$9=3,'Raw Data Input'!$AY86,IF(F$9=4,'Raw Data Input'!$BE86,IF(F$9=0,0)))))</f>
        <v>0.88835792260484781</v>
      </c>
      <c r="G162" s="323">
        <f>IF(G$9=1,'Raw Data Input'!$AM86,IF(G$9=2,'Raw Data Input'!$AS86,IF(G$9=3,'Raw Data Input'!$AY86,IF(G$9=4,'Raw Data Input'!$BE86,IF(G$9=0,0)))))</f>
        <v>0.88835792260484781</v>
      </c>
      <c r="H162" s="323">
        <f>IF(H$9=1,'Raw Data Input'!$AM86,IF(H$9=2,'Raw Data Input'!$AS86,IF(H$9=3,'Raw Data Input'!$AY86,IF(H$9=4,'Raw Data Input'!$BE86,IF(H$9=0,0)))))</f>
        <v>0.88835792260484781</v>
      </c>
      <c r="I162" s="323">
        <f>IF(I$9=1,'Raw Data Input'!$AM86,IF(I$9=2,'Raw Data Input'!$AS86,IF(I$9=3,'Raw Data Input'!$AY86,IF(I$9=4,'Raw Data Input'!$BE86,IF(I$9=0,0)))))</f>
        <v>0.88835792260484781</v>
      </c>
      <c r="J162" s="323">
        <f>IF(J$9=1,'Raw Data Input'!$AM86,IF(J$9=2,'Raw Data Input'!$AS86,IF(J$9=3,'Raw Data Input'!$AY86,IF(J$9=4,'Raw Data Input'!$BE86,IF(J$9=0,0)))))</f>
        <v>0.88835792260484781</v>
      </c>
      <c r="K162" s="323">
        <f>IF(K$9=1,'Raw Data Input'!$AM86,IF(K$9=2,'Raw Data Input'!$AS86,IF(K$9=3,'Raw Data Input'!$AY86,IF(K$9=4,'Raw Data Input'!$BE86,IF(K$9=0,0)))))</f>
        <v>0.7156030417853555</v>
      </c>
      <c r="L162" s="323">
        <f>IF(L$9=1,'Raw Data Input'!$AM86,IF(L$9=2,'Raw Data Input'!$AS86,IF(L$9=3,'Raw Data Input'!$AY86,IF(L$9=4,'Raw Data Input'!$BE86,IF(L$9=0,0)))))</f>
        <v>0.7156030417853555</v>
      </c>
      <c r="M162" s="323">
        <f>IF(M$9=1,'Raw Data Input'!$AM86,IF(M$9=2,'Raw Data Input'!$AS86,IF(M$9=3,'Raw Data Input'!$AY86,IF(M$9=4,'Raw Data Input'!$BE86,IF(M$9=0,0)))))</f>
        <v>0.7156030417853555</v>
      </c>
      <c r="N162" s="323">
        <f>IF(N$9=1,'Raw Data Input'!$AM86,IF(N$9=2,'Raw Data Input'!$AS86,IF(N$9=3,'Raw Data Input'!$AY86,IF(N$9=4,'Raw Data Input'!$BE86,IF(N$9=0,0)))))</f>
        <v>0.7156030417853555</v>
      </c>
      <c r="O162" s="323">
        <f>IF(O$9=1,'Raw Data Input'!$AM86,IF(O$9=2,'Raw Data Input'!$AS86,IF(O$9=3,'Raw Data Input'!$AY86,IF(O$9=4,'Raw Data Input'!$BE86,IF(O$9=0,0)))))</f>
        <v>0.7156030417853555</v>
      </c>
      <c r="P162" s="323">
        <f>IF(P$9=1,'Raw Data Input'!$AM86,IF(P$9=2,'Raw Data Input'!$AS86,IF(P$9=3,'Raw Data Input'!$AY86,IF(P$9=4,'Raw Data Input'!$BE86,IF(P$9=0,0)))))</f>
        <v>0.7156030417853555</v>
      </c>
      <c r="Q162" s="323">
        <f>IF(Q$9=1,'Raw Data Input'!$AM86,IF(Q$9=2,'Raw Data Input'!$AS86,IF(Q$9=3,'Raw Data Input'!$AY86,IF(Q$9=4,'Raw Data Input'!$BE86,IF(Q$9=0,0)))))</f>
        <v>0.7156030417853555</v>
      </c>
      <c r="R162" s="323">
        <f>IF(R$9=1,'Raw Data Input'!$AM86,IF(R$9=2,'Raw Data Input'!$AS86,IF(R$9=3,'Raw Data Input'!$AY86,IF(R$9=4,'Raw Data Input'!$BE86,IF(R$9=0,0)))))</f>
        <v>0.87211201906976965</v>
      </c>
      <c r="S162" s="323">
        <f>IF(S$9=1,'Raw Data Input'!$AM86,IF(S$9=2,'Raw Data Input'!$AS86,IF(S$9=3,'Raw Data Input'!$AY86,IF(S$9=4,'Raw Data Input'!$BE86,IF(S$9=0,0)))))</f>
        <v>0.87211201906976965</v>
      </c>
      <c r="T162" s="323">
        <f>IF(T$9=1,'Raw Data Input'!$AM86,IF(T$9=2,'Raw Data Input'!$AS86,IF(T$9=3,'Raw Data Input'!$AY86,IF(T$9=4,'Raw Data Input'!$BE86,IF(T$9=0,0)))))</f>
        <v>0.87211201906976965</v>
      </c>
      <c r="U162" s="323">
        <f>IF(U$9=1,'Raw Data Input'!$AM86,IF(U$9=2,'Raw Data Input'!$AS86,IF(U$9=3,'Raw Data Input'!$AY86,IF(U$9=4,'Raw Data Input'!$BE86,IF(U$9=0,0)))))</f>
        <v>0.87211201906976965</v>
      </c>
      <c r="V162" s="323">
        <f>IF(V$9=1,'Raw Data Input'!$AM86,IF(V$9=2,'Raw Data Input'!$AS86,IF(V$9=3,'Raw Data Input'!$AY86,IF(V$9=4,'Raw Data Input'!$BE86,IF(V$9=0,0)))))</f>
        <v>0.87211201906976965</v>
      </c>
      <c r="W162" s="323">
        <f>IF(W$9=1,'Raw Data Input'!$AM86,IF(W$9=2,'Raw Data Input'!$AS86,IF(W$9=3,'Raw Data Input'!$AY86,IF(W$9=4,'Raw Data Input'!$BE86,IF(W$9=0,0)))))</f>
        <v>0.87211201906976965</v>
      </c>
      <c r="X162" s="323">
        <f>IF(X$9=1,'Raw Data Input'!$AM86,IF(X$9=2,'Raw Data Input'!$AS86,IF(X$9=3,'Raw Data Input'!$AY86,IF(X$9=4,'Raw Data Input'!$BE86,IF(X$9=0,0)))))</f>
        <v>0.87211201906976965</v>
      </c>
      <c r="Y162" s="323">
        <f>IF(Y$9=1,'Raw Data Input'!$AM86,IF(Y$9=2,'Raw Data Input'!$AS86,IF(Y$9=3,'Raw Data Input'!$AY86,IF(Y$9=4,'Raw Data Input'!$BE86,IF(Y$9=0,0)))))</f>
        <v>0.87211201906976965</v>
      </c>
      <c r="Z162" s="323">
        <f>IF(Z$9=1,'Raw Data Input'!$AM86,IF(Z$9=2,'Raw Data Input'!$AS86,IF(Z$9=3,'Raw Data Input'!$AY86,IF(Z$9=4,'Raw Data Input'!$BE86,IF(Z$9=0,0)))))</f>
        <v>0.87211201906976965</v>
      </c>
      <c r="AA162" s="323">
        <f>IF(AA$9=1,'Raw Data Input'!$AM86,IF(AA$9=2,'Raw Data Input'!$AS86,IF(AA$9=3,'Raw Data Input'!$AY86,IF(AA$9=4,'Raw Data Input'!$BE86,IF(AA$9=0,0)))))</f>
        <v>0.88835792260484781</v>
      </c>
      <c r="AB162" s="323">
        <f>IF(AB$9=1,'Raw Data Input'!$AM86,IF(AB$9=2,'Raw Data Input'!$AS86,IF(AB$9=3,'Raw Data Input'!$AY86,IF(AB$9=4,'Raw Data Input'!$BE86,IF(AB$9=0,0)))))</f>
        <v>0.88835792260484781</v>
      </c>
      <c r="AC162" s="323">
        <f>IF(AC$9=1,'Raw Data Input'!$AM86,IF(AC$9=2,'Raw Data Input'!$AS86,IF(AC$9=3,'Raw Data Input'!$AY86,IF(AC$9=4,'Raw Data Input'!$BE86,IF(AC$9=0,0)))))</f>
        <v>0.88835792260484781</v>
      </c>
      <c r="AD162" s="323">
        <f>IF(AD$9=1,'Raw Data Input'!$AM86,IF(AD$9=2,'Raw Data Input'!$AS86,IF(AD$9=3,'Raw Data Input'!$AY86,IF(AD$9=4,'Raw Data Input'!$BE86,IF(AD$9=0,0)))))</f>
        <v>0.88835792260484781</v>
      </c>
      <c r="AE162" s="323">
        <f>IF(AE$9=1,'Raw Data Input'!$AM86,IF(AE$9=2,'Raw Data Input'!$AS86,IF(AE$9=3,'Raw Data Input'!$AY86,IF(AE$9=4,'Raw Data Input'!$BE86,IF(AE$9=0,0)))))</f>
        <v>0.88835792260484781</v>
      </c>
      <c r="AF162" s="323">
        <f>IF(AF$9=1,'Raw Data Input'!$AM86,IF(AF$9=2,'Raw Data Input'!$AS86,IF(AF$9=3,'Raw Data Input'!$AY86,IF(AF$9=4,'Raw Data Input'!$BE86,IF(AF$9=0,0)))))</f>
        <v>0.88835792260484781</v>
      </c>
      <c r="AG162" s="323"/>
    </row>
    <row r="163" spans="1:33" s="262" customFormat="1" x14ac:dyDescent="0.2">
      <c r="A163" s="212" t="s">
        <v>385</v>
      </c>
      <c r="B163" s="63"/>
      <c r="C163" s="323">
        <f>IF(C$9=1,'Raw Data Input'!$AN86,IF(C$9=2,'Raw Data Input'!$AT86,IF(C$9=3,'Raw Data Input'!$AZ86,IF(C$9=4,'Raw Data Input'!$BF86,IF(C$9=0,0)))))</f>
        <v>2.4549999999999999E-2</v>
      </c>
      <c r="D163" s="323">
        <f>IF(D$9=1,'Raw Data Input'!$AN86,IF(D$9=2,'Raw Data Input'!$AT86,IF(D$9=3,'Raw Data Input'!$AZ86,IF(D$9=4,'Raw Data Input'!$BF86,IF(D$9=0,0)))))</f>
        <v>2.4549999999999999E-2</v>
      </c>
      <c r="E163" s="323">
        <f>IF(E$9=1,'Raw Data Input'!$AN86,IF(E$9=2,'Raw Data Input'!$AT86,IF(E$9=3,'Raw Data Input'!$AZ86,IF(E$9=4,'Raw Data Input'!$BF86,IF(E$9=0,0)))))</f>
        <v>2.4549999999999999E-2</v>
      </c>
      <c r="F163" s="323">
        <f>IF(F$9=1,'Raw Data Input'!$AN86,IF(F$9=2,'Raw Data Input'!$AT86,IF(F$9=3,'Raw Data Input'!$AZ86,IF(F$9=4,'Raw Data Input'!$BF86,IF(F$9=0,0)))))</f>
        <v>2.4549999999999999E-2</v>
      </c>
      <c r="G163" s="323">
        <f>IF(G$9=1,'Raw Data Input'!$AN86,IF(G$9=2,'Raw Data Input'!$AT86,IF(G$9=3,'Raw Data Input'!$AZ86,IF(G$9=4,'Raw Data Input'!$BF86,IF(G$9=0,0)))))</f>
        <v>2.4549999999999999E-2</v>
      </c>
      <c r="H163" s="323">
        <f>IF(H$9=1,'Raw Data Input'!$AN86,IF(H$9=2,'Raw Data Input'!$AT86,IF(H$9=3,'Raw Data Input'!$AZ86,IF(H$9=4,'Raw Data Input'!$BF86,IF(H$9=0,0)))))</f>
        <v>2.4549999999999999E-2</v>
      </c>
      <c r="I163" s="323">
        <f>IF(I$9=1,'Raw Data Input'!$AN86,IF(I$9=2,'Raw Data Input'!$AT86,IF(I$9=3,'Raw Data Input'!$AZ86,IF(I$9=4,'Raw Data Input'!$BF86,IF(I$9=0,0)))))</f>
        <v>2.4549999999999999E-2</v>
      </c>
      <c r="J163" s="323">
        <f>IF(J$9=1,'Raw Data Input'!$AN86,IF(J$9=2,'Raw Data Input'!$AT86,IF(J$9=3,'Raw Data Input'!$AZ86,IF(J$9=4,'Raw Data Input'!$BF86,IF(J$9=0,0)))))</f>
        <v>2.4549999999999999E-2</v>
      </c>
      <c r="K163" s="323">
        <f>IF(K$9=1,'Raw Data Input'!$AN86,IF(K$9=2,'Raw Data Input'!$AT86,IF(K$9=3,'Raw Data Input'!$AZ86,IF(K$9=4,'Raw Data Input'!$BF86,IF(K$9=0,0)))))</f>
        <v>0.10305006999999999</v>
      </c>
      <c r="L163" s="323">
        <f>IF(L$9=1,'Raw Data Input'!$AN86,IF(L$9=2,'Raw Data Input'!$AT86,IF(L$9=3,'Raw Data Input'!$AZ86,IF(L$9=4,'Raw Data Input'!$BF86,IF(L$9=0,0)))))</f>
        <v>0.10305006999999999</v>
      </c>
      <c r="M163" s="323">
        <f>IF(M$9=1,'Raw Data Input'!$AN86,IF(M$9=2,'Raw Data Input'!$AT86,IF(M$9=3,'Raw Data Input'!$AZ86,IF(M$9=4,'Raw Data Input'!$BF86,IF(M$9=0,0)))))</f>
        <v>0.10305006999999999</v>
      </c>
      <c r="N163" s="323">
        <f>IF(N$9=1,'Raw Data Input'!$AN86,IF(N$9=2,'Raw Data Input'!$AT86,IF(N$9=3,'Raw Data Input'!$AZ86,IF(N$9=4,'Raw Data Input'!$BF86,IF(N$9=0,0)))))</f>
        <v>0.10305006999999999</v>
      </c>
      <c r="O163" s="323">
        <f>IF(O$9=1,'Raw Data Input'!$AN86,IF(O$9=2,'Raw Data Input'!$AT86,IF(O$9=3,'Raw Data Input'!$AZ86,IF(O$9=4,'Raw Data Input'!$BF86,IF(O$9=0,0)))))</f>
        <v>0.10305006999999999</v>
      </c>
      <c r="P163" s="323">
        <f>IF(P$9=1,'Raw Data Input'!$AN86,IF(P$9=2,'Raw Data Input'!$AT86,IF(P$9=3,'Raw Data Input'!$AZ86,IF(P$9=4,'Raw Data Input'!$BF86,IF(P$9=0,0)))))</f>
        <v>0.10305006999999999</v>
      </c>
      <c r="Q163" s="323">
        <f>IF(Q$9=1,'Raw Data Input'!$AN86,IF(Q$9=2,'Raw Data Input'!$AT86,IF(Q$9=3,'Raw Data Input'!$AZ86,IF(Q$9=4,'Raw Data Input'!$BF86,IF(Q$9=0,0)))))</f>
        <v>0.10305006999999999</v>
      </c>
      <c r="R163" s="323">
        <f>IF(R$9=1,'Raw Data Input'!$AN86,IF(R$9=2,'Raw Data Input'!$AT86,IF(R$9=3,'Raw Data Input'!$AZ86,IF(R$9=4,'Raw Data Input'!$BF86,IF(R$9=0,0)))))</f>
        <v>0.10305006999999999</v>
      </c>
      <c r="S163" s="323">
        <f>IF(S$9=1,'Raw Data Input'!$AN86,IF(S$9=2,'Raw Data Input'!$AT86,IF(S$9=3,'Raw Data Input'!$AZ86,IF(S$9=4,'Raw Data Input'!$BF86,IF(S$9=0,0)))))</f>
        <v>0.10305006999999999</v>
      </c>
      <c r="T163" s="323">
        <f>IF(T$9=1,'Raw Data Input'!$AN86,IF(T$9=2,'Raw Data Input'!$AT86,IF(T$9=3,'Raw Data Input'!$AZ86,IF(T$9=4,'Raw Data Input'!$BF86,IF(T$9=0,0)))))</f>
        <v>0.10305006999999999</v>
      </c>
      <c r="U163" s="323">
        <f>IF(U$9=1,'Raw Data Input'!$AN86,IF(U$9=2,'Raw Data Input'!$AT86,IF(U$9=3,'Raw Data Input'!$AZ86,IF(U$9=4,'Raw Data Input'!$BF86,IF(U$9=0,0)))))</f>
        <v>0.10305006999999999</v>
      </c>
      <c r="V163" s="323">
        <f>IF(V$9=1,'Raw Data Input'!$AN86,IF(V$9=2,'Raw Data Input'!$AT86,IF(V$9=3,'Raw Data Input'!$AZ86,IF(V$9=4,'Raw Data Input'!$BF86,IF(V$9=0,0)))))</f>
        <v>0.10305006999999999</v>
      </c>
      <c r="W163" s="323">
        <f>IF(W$9=1,'Raw Data Input'!$AN86,IF(W$9=2,'Raw Data Input'!$AT86,IF(W$9=3,'Raw Data Input'!$AZ86,IF(W$9=4,'Raw Data Input'!$BF86,IF(W$9=0,0)))))</f>
        <v>0.10305006999999999</v>
      </c>
      <c r="X163" s="323">
        <f>IF(X$9=1,'Raw Data Input'!$AN86,IF(X$9=2,'Raw Data Input'!$AT86,IF(X$9=3,'Raw Data Input'!$AZ86,IF(X$9=4,'Raw Data Input'!$BF86,IF(X$9=0,0)))))</f>
        <v>0.10305006999999999</v>
      </c>
      <c r="Y163" s="323">
        <f>IF(Y$9=1,'Raw Data Input'!$AN86,IF(Y$9=2,'Raw Data Input'!$AT86,IF(Y$9=3,'Raw Data Input'!$AZ86,IF(Y$9=4,'Raw Data Input'!$BF86,IF(Y$9=0,0)))))</f>
        <v>0.10305006999999999</v>
      </c>
      <c r="Z163" s="323">
        <f>IF(Z$9=1,'Raw Data Input'!$AN86,IF(Z$9=2,'Raw Data Input'!$AT86,IF(Z$9=3,'Raw Data Input'!$AZ86,IF(Z$9=4,'Raw Data Input'!$BF86,IF(Z$9=0,0)))))</f>
        <v>0.10305006999999999</v>
      </c>
      <c r="AA163" s="323">
        <f>IF(AA$9=1,'Raw Data Input'!$AN86,IF(AA$9=2,'Raw Data Input'!$AT86,IF(AA$9=3,'Raw Data Input'!$AZ86,IF(AA$9=4,'Raw Data Input'!$BF86,IF(AA$9=0,0)))))</f>
        <v>2.4549999999999999E-2</v>
      </c>
      <c r="AB163" s="323">
        <f>IF(AB$9=1,'Raw Data Input'!$AN86,IF(AB$9=2,'Raw Data Input'!$AT86,IF(AB$9=3,'Raw Data Input'!$AZ86,IF(AB$9=4,'Raw Data Input'!$BF86,IF(AB$9=0,0)))))</f>
        <v>2.4549999999999999E-2</v>
      </c>
      <c r="AC163" s="323">
        <f>IF(AC$9=1,'Raw Data Input'!$AN86,IF(AC$9=2,'Raw Data Input'!$AT86,IF(AC$9=3,'Raw Data Input'!$AZ86,IF(AC$9=4,'Raw Data Input'!$BF86,IF(AC$9=0,0)))))</f>
        <v>2.4549999999999999E-2</v>
      </c>
      <c r="AD163" s="323">
        <f>IF(AD$9=1,'Raw Data Input'!$AN86,IF(AD$9=2,'Raw Data Input'!$AT86,IF(AD$9=3,'Raw Data Input'!$AZ86,IF(AD$9=4,'Raw Data Input'!$BF86,IF(AD$9=0,0)))))</f>
        <v>2.4549999999999999E-2</v>
      </c>
      <c r="AE163" s="323">
        <f>IF(AE$9=1,'Raw Data Input'!$AN86,IF(AE$9=2,'Raw Data Input'!$AT86,IF(AE$9=3,'Raw Data Input'!$AZ86,IF(AE$9=4,'Raw Data Input'!$BF86,IF(AE$9=0,0)))))</f>
        <v>2.4549999999999999E-2</v>
      </c>
      <c r="AF163" s="323">
        <f>IF(AF$9=1,'Raw Data Input'!$AN86,IF(AF$9=2,'Raw Data Input'!$AT86,IF(AF$9=3,'Raw Data Input'!$AZ86,IF(AF$9=4,'Raw Data Input'!$BF86,IF(AF$9=0,0)))))</f>
        <v>2.4549999999999999E-2</v>
      </c>
      <c r="AG163" s="323"/>
    </row>
    <row r="164" spans="1:33" s="262" customFormat="1" x14ac:dyDescent="0.2">
      <c r="A164" s="198" t="s">
        <v>299</v>
      </c>
      <c r="B164" s="62"/>
      <c r="C164" s="323">
        <f>IF(C$9=1,'Raw Data Input'!$AM87,IF(C$9=2,'Raw Data Input'!$AS87,IF(C$9=3,'Raw Data Input'!$AY87,IF(C$9=4,'Raw Data Input'!$BE87,IF(C$9=0,0)))))</f>
        <v>6.6923335117985733E-2</v>
      </c>
      <c r="D164" s="323">
        <f>IF(D$9=1,'Raw Data Input'!$AM87,IF(D$9=2,'Raw Data Input'!$AS87,IF(D$9=3,'Raw Data Input'!$AY87,IF(D$9=4,'Raw Data Input'!$BE87,IF(D$9=0,0)))))</f>
        <v>6.6923335117985733E-2</v>
      </c>
      <c r="E164" s="323">
        <f>IF(E$9=1,'Raw Data Input'!$AM87,IF(E$9=2,'Raw Data Input'!$AS87,IF(E$9=3,'Raw Data Input'!$AY87,IF(E$9=4,'Raw Data Input'!$BE87,IF(E$9=0,0)))))</f>
        <v>6.6923335117985733E-2</v>
      </c>
      <c r="F164" s="323">
        <f>IF(F$9=1,'Raw Data Input'!$AM87,IF(F$9=2,'Raw Data Input'!$AS87,IF(F$9=3,'Raw Data Input'!$AY87,IF(F$9=4,'Raw Data Input'!$BE87,IF(F$9=0,0)))))</f>
        <v>6.6923335117985733E-2</v>
      </c>
      <c r="G164" s="323">
        <f>IF(G$9=1,'Raw Data Input'!$AM87,IF(G$9=2,'Raw Data Input'!$AS87,IF(G$9=3,'Raw Data Input'!$AY87,IF(G$9=4,'Raw Data Input'!$BE87,IF(G$9=0,0)))))</f>
        <v>6.6923335117985733E-2</v>
      </c>
      <c r="H164" s="323">
        <f>IF(H$9=1,'Raw Data Input'!$AM87,IF(H$9=2,'Raw Data Input'!$AS87,IF(H$9=3,'Raw Data Input'!$AY87,IF(H$9=4,'Raw Data Input'!$BE87,IF(H$9=0,0)))))</f>
        <v>6.6923335117985733E-2</v>
      </c>
      <c r="I164" s="323">
        <f>IF(I$9=1,'Raw Data Input'!$AM87,IF(I$9=2,'Raw Data Input'!$AS87,IF(I$9=3,'Raw Data Input'!$AY87,IF(I$9=4,'Raw Data Input'!$BE87,IF(I$9=0,0)))))</f>
        <v>6.6923335117985733E-2</v>
      </c>
      <c r="J164" s="323">
        <f>IF(J$9=1,'Raw Data Input'!$AM87,IF(J$9=2,'Raw Data Input'!$AS87,IF(J$9=3,'Raw Data Input'!$AY87,IF(J$9=4,'Raw Data Input'!$BE87,IF(J$9=0,0)))))</f>
        <v>6.6923335117985733E-2</v>
      </c>
      <c r="K164" s="323">
        <f>IF(K$9=1,'Raw Data Input'!$AM87,IF(K$9=2,'Raw Data Input'!$AS87,IF(K$9=3,'Raw Data Input'!$AY87,IF(K$9=4,'Raw Data Input'!$BE87,IF(K$9=0,0)))))</f>
        <v>0.18679567495076177</v>
      </c>
      <c r="L164" s="323">
        <f>IF(L$9=1,'Raw Data Input'!$AM87,IF(L$9=2,'Raw Data Input'!$AS87,IF(L$9=3,'Raw Data Input'!$AY87,IF(L$9=4,'Raw Data Input'!$BE87,IF(L$9=0,0)))))</f>
        <v>0.18679567495076177</v>
      </c>
      <c r="M164" s="323">
        <f>IF(M$9=1,'Raw Data Input'!$AM87,IF(M$9=2,'Raw Data Input'!$AS87,IF(M$9=3,'Raw Data Input'!$AY87,IF(M$9=4,'Raw Data Input'!$BE87,IF(M$9=0,0)))))</f>
        <v>0.18679567495076177</v>
      </c>
      <c r="N164" s="323">
        <f>IF(N$9=1,'Raw Data Input'!$AM87,IF(N$9=2,'Raw Data Input'!$AS87,IF(N$9=3,'Raw Data Input'!$AY87,IF(N$9=4,'Raw Data Input'!$BE87,IF(N$9=0,0)))))</f>
        <v>0.18679567495076177</v>
      </c>
      <c r="O164" s="323">
        <f>IF(O$9=1,'Raw Data Input'!$AM87,IF(O$9=2,'Raw Data Input'!$AS87,IF(O$9=3,'Raw Data Input'!$AY87,IF(O$9=4,'Raw Data Input'!$BE87,IF(O$9=0,0)))))</f>
        <v>0.18679567495076177</v>
      </c>
      <c r="P164" s="323">
        <f>IF(P$9=1,'Raw Data Input'!$AM87,IF(P$9=2,'Raw Data Input'!$AS87,IF(P$9=3,'Raw Data Input'!$AY87,IF(P$9=4,'Raw Data Input'!$BE87,IF(P$9=0,0)))))</f>
        <v>0.18679567495076177</v>
      </c>
      <c r="Q164" s="323">
        <f>IF(Q$9=1,'Raw Data Input'!$AM87,IF(Q$9=2,'Raw Data Input'!$AS87,IF(Q$9=3,'Raw Data Input'!$AY87,IF(Q$9=4,'Raw Data Input'!$BE87,IF(Q$9=0,0)))))</f>
        <v>0.18679567495076177</v>
      </c>
      <c r="R164" s="323">
        <f>IF(R$9=1,'Raw Data Input'!$AM87,IF(R$9=2,'Raw Data Input'!$AS87,IF(R$9=3,'Raw Data Input'!$AY87,IF(R$9=4,'Raw Data Input'!$BE87,IF(R$9=0,0)))))</f>
        <v>0.15792467888017991</v>
      </c>
      <c r="S164" s="323">
        <f>IF(S$9=1,'Raw Data Input'!$AM87,IF(S$9=2,'Raw Data Input'!$AS87,IF(S$9=3,'Raw Data Input'!$AY87,IF(S$9=4,'Raw Data Input'!$BE87,IF(S$9=0,0)))))</f>
        <v>0.15792467888017991</v>
      </c>
      <c r="T164" s="323">
        <f>IF(T$9=1,'Raw Data Input'!$AM87,IF(T$9=2,'Raw Data Input'!$AS87,IF(T$9=3,'Raw Data Input'!$AY87,IF(T$9=4,'Raw Data Input'!$BE87,IF(T$9=0,0)))))</f>
        <v>0.15792467888017991</v>
      </c>
      <c r="U164" s="323">
        <f>IF(U$9=1,'Raw Data Input'!$AM87,IF(U$9=2,'Raw Data Input'!$AS87,IF(U$9=3,'Raw Data Input'!$AY87,IF(U$9=4,'Raw Data Input'!$BE87,IF(U$9=0,0)))))</f>
        <v>0.15792467888017991</v>
      </c>
      <c r="V164" s="323">
        <f>IF(V$9=1,'Raw Data Input'!$AM87,IF(V$9=2,'Raw Data Input'!$AS87,IF(V$9=3,'Raw Data Input'!$AY87,IF(V$9=4,'Raw Data Input'!$BE87,IF(V$9=0,0)))))</f>
        <v>0.15792467888017991</v>
      </c>
      <c r="W164" s="323">
        <f>IF(W$9=1,'Raw Data Input'!$AM87,IF(W$9=2,'Raw Data Input'!$AS87,IF(W$9=3,'Raw Data Input'!$AY87,IF(W$9=4,'Raw Data Input'!$BE87,IF(W$9=0,0)))))</f>
        <v>0.15792467888017991</v>
      </c>
      <c r="X164" s="323">
        <f>IF(X$9=1,'Raw Data Input'!$AM87,IF(X$9=2,'Raw Data Input'!$AS87,IF(X$9=3,'Raw Data Input'!$AY87,IF(X$9=4,'Raw Data Input'!$BE87,IF(X$9=0,0)))))</f>
        <v>0.15792467888017991</v>
      </c>
      <c r="Y164" s="323">
        <f>IF(Y$9=1,'Raw Data Input'!$AM87,IF(Y$9=2,'Raw Data Input'!$AS87,IF(Y$9=3,'Raw Data Input'!$AY87,IF(Y$9=4,'Raw Data Input'!$BE87,IF(Y$9=0,0)))))</f>
        <v>0.15792467888017991</v>
      </c>
      <c r="Z164" s="323">
        <f>IF(Z$9=1,'Raw Data Input'!$AM87,IF(Z$9=2,'Raw Data Input'!$AS87,IF(Z$9=3,'Raw Data Input'!$AY87,IF(Z$9=4,'Raw Data Input'!$BE87,IF(Z$9=0,0)))))</f>
        <v>0.15792467888017991</v>
      </c>
      <c r="AA164" s="323">
        <f>IF(AA$9=1,'Raw Data Input'!$AM87,IF(AA$9=2,'Raw Data Input'!$AS87,IF(AA$9=3,'Raw Data Input'!$AY87,IF(AA$9=4,'Raw Data Input'!$BE87,IF(AA$9=0,0)))))</f>
        <v>6.6923335117985733E-2</v>
      </c>
      <c r="AB164" s="323">
        <f>IF(AB$9=1,'Raw Data Input'!$AM87,IF(AB$9=2,'Raw Data Input'!$AS87,IF(AB$9=3,'Raw Data Input'!$AY87,IF(AB$9=4,'Raw Data Input'!$BE87,IF(AB$9=0,0)))))</f>
        <v>6.6923335117985733E-2</v>
      </c>
      <c r="AC164" s="323">
        <f>IF(AC$9=1,'Raw Data Input'!$AM87,IF(AC$9=2,'Raw Data Input'!$AS87,IF(AC$9=3,'Raw Data Input'!$AY87,IF(AC$9=4,'Raw Data Input'!$BE87,IF(AC$9=0,0)))))</f>
        <v>6.6923335117985733E-2</v>
      </c>
      <c r="AD164" s="323">
        <f>IF(AD$9=1,'Raw Data Input'!$AM87,IF(AD$9=2,'Raw Data Input'!$AS87,IF(AD$9=3,'Raw Data Input'!$AY87,IF(AD$9=4,'Raw Data Input'!$BE87,IF(AD$9=0,0)))))</f>
        <v>6.6923335117985733E-2</v>
      </c>
      <c r="AE164" s="323">
        <f>IF(AE$9=1,'Raw Data Input'!$AM87,IF(AE$9=2,'Raw Data Input'!$AS87,IF(AE$9=3,'Raw Data Input'!$AY87,IF(AE$9=4,'Raw Data Input'!$BE87,IF(AE$9=0,0)))))</f>
        <v>6.6923335117985733E-2</v>
      </c>
      <c r="AF164" s="323">
        <f>IF(AF$9=1,'Raw Data Input'!$AM87,IF(AF$9=2,'Raw Data Input'!$AS87,IF(AF$9=3,'Raw Data Input'!$AY87,IF(AF$9=4,'Raw Data Input'!$BE87,IF(AF$9=0,0)))))</f>
        <v>6.6923335117985733E-2</v>
      </c>
      <c r="AG164" s="323"/>
    </row>
    <row r="165" spans="1:33" s="262" customFormat="1" x14ac:dyDescent="0.2">
      <c r="A165" s="212" t="s">
        <v>385</v>
      </c>
      <c r="B165" s="63"/>
      <c r="C165" s="323">
        <f>IF(C$9=1,'Raw Data Input'!$AN87,IF(C$9=2,'Raw Data Input'!$AT87,IF(C$9=3,'Raw Data Input'!$AZ87,IF(C$9=4,'Raw Data Input'!$BF87,IF(C$9=0,0)))))</f>
        <v>5.91E-2</v>
      </c>
      <c r="D165" s="323">
        <f>IF(D$9=1,'Raw Data Input'!$AN87,IF(D$9=2,'Raw Data Input'!$AT87,IF(D$9=3,'Raw Data Input'!$AZ87,IF(D$9=4,'Raw Data Input'!$BF87,IF(D$9=0,0)))))</f>
        <v>5.91E-2</v>
      </c>
      <c r="E165" s="323">
        <f>IF(E$9=1,'Raw Data Input'!$AN87,IF(E$9=2,'Raw Data Input'!$AT87,IF(E$9=3,'Raw Data Input'!$AZ87,IF(E$9=4,'Raw Data Input'!$BF87,IF(E$9=0,0)))))</f>
        <v>5.91E-2</v>
      </c>
      <c r="F165" s="323">
        <f>IF(F$9=1,'Raw Data Input'!$AN87,IF(F$9=2,'Raw Data Input'!$AT87,IF(F$9=3,'Raw Data Input'!$AZ87,IF(F$9=4,'Raw Data Input'!$BF87,IF(F$9=0,0)))))</f>
        <v>5.91E-2</v>
      </c>
      <c r="G165" s="323">
        <f>IF(G$9=1,'Raw Data Input'!$AN87,IF(G$9=2,'Raw Data Input'!$AT87,IF(G$9=3,'Raw Data Input'!$AZ87,IF(G$9=4,'Raw Data Input'!$BF87,IF(G$9=0,0)))))</f>
        <v>5.91E-2</v>
      </c>
      <c r="H165" s="323">
        <f>IF(H$9=1,'Raw Data Input'!$AN87,IF(H$9=2,'Raw Data Input'!$AT87,IF(H$9=3,'Raw Data Input'!$AZ87,IF(H$9=4,'Raw Data Input'!$BF87,IF(H$9=0,0)))))</f>
        <v>5.91E-2</v>
      </c>
      <c r="I165" s="323">
        <f>IF(I$9=1,'Raw Data Input'!$AN87,IF(I$9=2,'Raw Data Input'!$AT87,IF(I$9=3,'Raw Data Input'!$AZ87,IF(I$9=4,'Raw Data Input'!$BF87,IF(I$9=0,0)))))</f>
        <v>5.91E-2</v>
      </c>
      <c r="J165" s="323">
        <f>IF(J$9=1,'Raw Data Input'!$AN87,IF(J$9=2,'Raw Data Input'!$AT87,IF(J$9=3,'Raw Data Input'!$AZ87,IF(J$9=4,'Raw Data Input'!$BF87,IF(J$9=0,0)))))</f>
        <v>5.91E-2</v>
      </c>
      <c r="K165" s="323">
        <f>IF(K$9=1,'Raw Data Input'!$AN87,IF(K$9=2,'Raw Data Input'!$AT87,IF(K$9=3,'Raw Data Input'!$AZ87,IF(K$9=4,'Raw Data Input'!$BF87,IF(K$9=0,0)))))</f>
        <v>0.12610178999999999</v>
      </c>
      <c r="L165" s="323">
        <f>IF(L$9=1,'Raw Data Input'!$AN87,IF(L$9=2,'Raw Data Input'!$AT87,IF(L$9=3,'Raw Data Input'!$AZ87,IF(L$9=4,'Raw Data Input'!$BF87,IF(L$9=0,0)))))</f>
        <v>0.12610178999999999</v>
      </c>
      <c r="M165" s="323">
        <f>IF(M$9=1,'Raw Data Input'!$AN87,IF(M$9=2,'Raw Data Input'!$AT87,IF(M$9=3,'Raw Data Input'!$AZ87,IF(M$9=4,'Raw Data Input'!$BF87,IF(M$9=0,0)))))</f>
        <v>0.12610178999999999</v>
      </c>
      <c r="N165" s="323">
        <f>IF(N$9=1,'Raw Data Input'!$AN87,IF(N$9=2,'Raw Data Input'!$AT87,IF(N$9=3,'Raw Data Input'!$AZ87,IF(N$9=4,'Raw Data Input'!$BF87,IF(N$9=0,0)))))</f>
        <v>0.12610178999999999</v>
      </c>
      <c r="O165" s="323">
        <f>IF(O$9=1,'Raw Data Input'!$AN87,IF(O$9=2,'Raw Data Input'!$AT87,IF(O$9=3,'Raw Data Input'!$AZ87,IF(O$9=4,'Raw Data Input'!$BF87,IF(O$9=0,0)))))</f>
        <v>0.12610178999999999</v>
      </c>
      <c r="P165" s="323">
        <f>IF(P$9=1,'Raw Data Input'!$AN87,IF(P$9=2,'Raw Data Input'!$AT87,IF(P$9=3,'Raw Data Input'!$AZ87,IF(P$9=4,'Raw Data Input'!$BF87,IF(P$9=0,0)))))</f>
        <v>0.12610178999999999</v>
      </c>
      <c r="Q165" s="323">
        <f>IF(Q$9=1,'Raw Data Input'!$AN87,IF(Q$9=2,'Raw Data Input'!$AT87,IF(Q$9=3,'Raw Data Input'!$AZ87,IF(Q$9=4,'Raw Data Input'!$BF87,IF(Q$9=0,0)))))</f>
        <v>0.12610178999999999</v>
      </c>
      <c r="R165" s="323">
        <f>IF(R$9=1,'Raw Data Input'!$AN87,IF(R$9=2,'Raw Data Input'!$AT87,IF(R$9=3,'Raw Data Input'!$AZ87,IF(R$9=4,'Raw Data Input'!$BF87,IF(R$9=0,0)))))</f>
        <v>0.12610178999999999</v>
      </c>
      <c r="S165" s="323">
        <f>IF(S$9=1,'Raw Data Input'!$AN87,IF(S$9=2,'Raw Data Input'!$AT87,IF(S$9=3,'Raw Data Input'!$AZ87,IF(S$9=4,'Raw Data Input'!$BF87,IF(S$9=0,0)))))</f>
        <v>0.12610178999999999</v>
      </c>
      <c r="T165" s="323">
        <f>IF(T$9=1,'Raw Data Input'!$AN87,IF(T$9=2,'Raw Data Input'!$AT87,IF(T$9=3,'Raw Data Input'!$AZ87,IF(T$9=4,'Raw Data Input'!$BF87,IF(T$9=0,0)))))</f>
        <v>0.12610178999999999</v>
      </c>
      <c r="U165" s="323">
        <f>IF(U$9=1,'Raw Data Input'!$AN87,IF(U$9=2,'Raw Data Input'!$AT87,IF(U$9=3,'Raw Data Input'!$AZ87,IF(U$9=4,'Raw Data Input'!$BF87,IF(U$9=0,0)))))</f>
        <v>0.12610178999999999</v>
      </c>
      <c r="V165" s="323">
        <f>IF(V$9=1,'Raw Data Input'!$AN87,IF(V$9=2,'Raw Data Input'!$AT87,IF(V$9=3,'Raw Data Input'!$AZ87,IF(V$9=4,'Raw Data Input'!$BF87,IF(V$9=0,0)))))</f>
        <v>0.12610178999999999</v>
      </c>
      <c r="W165" s="323">
        <f>IF(W$9=1,'Raw Data Input'!$AN87,IF(W$9=2,'Raw Data Input'!$AT87,IF(W$9=3,'Raw Data Input'!$AZ87,IF(W$9=4,'Raw Data Input'!$BF87,IF(W$9=0,0)))))</f>
        <v>0.12610178999999999</v>
      </c>
      <c r="X165" s="323">
        <f>IF(X$9=1,'Raw Data Input'!$AN87,IF(X$9=2,'Raw Data Input'!$AT87,IF(X$9=3,'Raw Data Input'!$AZ87,IF(X$9=4,'Raw Data Input'!$BF87,IF(X$9=0,0)))))</f>
        <v>0.12610178999999999</v>
      </c>
      <c r="Y165" s="323">
        <f>IF(Y$9=1,'Raw Data Input'!$AN87,IF(Y$9=2,'Raw Data Input'!$AT87,IF(Y$9=3,'Raw Data Input'!$AZ87,IF(Y$9=4,'Raw Data Input'!$BF87,IF(Y$9=0,0)))))</f>
        <v>0.12610178999999999</v>
      </c>
      <c r="Z165" s="323">
        <f>IF(Z$9=1,'Raw Data Input'!$AN87,IF(Z$9=2,'Raw Data Input'!$AT87,IF(Z$9=3,'Raw Data Input'!$AZ87,IF(Z$9=4,'Raw Data Input'!$BF87,IF(Z$9=0,0)))))</f>
        <v>0.12610178999999999</v>
      </c>
      <c r="AA165" s="323">
        <f>IF(AA$9=1,'Raw Data Input'!$AN87,IF(AA$9=2,'Raw Data Input'!$AT87,IF(AA$9=3,'Raw Data Input'!$AZ87,IF(AA$9=4,'Raw Data Input'!$BF87,IF(AA$9=0,0)))))</f>
        <v>5.91E-2</v>
      </c>
      <c r="AB165" s="323">
        <f>IF(AB$9=1,'Raw Data Input'!$AN87,IF(AB$9=2,'Raw Data Input'!$AT87,IF(AB$9=3,'Raw Data Input'!$AZ87,IF(AB$9=4,'Raw Data Input'!$BF87,IF(AB$9=0,0)))))</f>
        <v>5.91E-2</v>
      </c>
      <c r="AC165" s="323">
        <f>IF(AC$9=1,'Raw Data Input'!$AN87,IF(AC$9=2,'Raw Data Input'!$AT87,IF(AC$9=3,'Raw Data Input'!$AZ87,IF(AC$9=4,'Raw Data Input'!$BF87,IF(AC$9=0,0)))))</f>
        <v>5.91E-2</v>
      </c>
      <c r="AD165" s="323">
        <f>IF(AD$9=1,'Raw Data Input'!$AN87,IF(AD$9=2,'Raw Data Input'!$AT87,IF(AD$9=3,'Raw Data Input'!$AZ87,IF(AD$9=4,'Raw Data Input'!$BF87,IF(AD$9=0,0)))))</f>
        <v>5.91E-2</v>
      </c>
      <c r="AE165" s="323">
        <f>IF(AE$9=1,'Raw Data Input'!$AN87,IF(AE$9=2,'Raw Data Input'!$AT87,IF(AE$9=3,'Raw Data Input'!$AZ87,IF(AE$9=4,'Raw Data Input'!$BF87,IF(AE$9=0,0)))))</f>
        <v>5.91E-2</v>
      </c>
      <c r="AF165" s="323">
        <f>IF(AF$9=1,'Raw Data Input'!$AN87,IF(AF$9=2,'Raw Data Input'!$AT87,IF(AF$9=3,'Raw Data Input'!$AZ87,IF(AF$9=4,'Raw Data Input'!$BF87,IF(AF$9=0,0)))))</f>
        <v>5.91E-2</v>
      </c>
      <c r="AG165" s="323"/>
    </row>
    <row r="166" spans="1:33" s="262" customFormat="1" x14ac:dyDescent="0.2">
      <c r="A166" s="198" t="s">
        <v>420</v>
      </c>
      <c r="B166" s="62"/>
      <c r="C166" s="323">
        <f>IF(C$9=1,'Raw Data Input'!$AM88,IF(C$9=2,'Raw Data Input'!$AS88,IF(C$9=3,'Raw Data Input'!$AY88,IF(C$9=4,'Raw Data Input'!$BE88,IF(C$9=0,0)))))</f>
        <v>2.5843738693059901E-3</v>
      </c>
      <c r="D166" s="323">
        <f>IF(D$9=1,'Raw Data Input'!$AM88,IF(D$9=2,'Raw Data Input'!$AS88,IF(D$9=3,'Raw Data Input'!$AY88,IF(D$9=4,'Raw Data Input'!$BE88,IF(D$9=0,0)))))</f>
        <v>2.5843738693059901E-3</v>
      </c>
      <c r="E166" s="323">
        <f>IF(E$9=1,'Raw Data Input'!$AM88,IF(E$9=2,'Raw Data Input'!$AS88,IF(E$9=3,'Raw Data Input'!$AY88,IF(E$9=4,'Raw Data Input'!$BE88,IF(E$9=0,0)))))</f>
        <v>2.5843738693059901E-3</v>
      </c>
      <c r="F166" s="323">
        <f>IF(F$9=1,'Raw Data Input'!$AM88,IF(F$9=2,'Raw Data Input'!$AS88,IF(F$9=3,'Raw Data Input'!$AY88,IF(F$9=4,'Raw Data Input'!$BE88,IF(F$9=0,0)))))</f>
        <v>2.5843738693059901E-3</v>
      </c>
      <c r="G166" s="323">
        <f>IF(G$9=1,'Raw Data Input'!$AM88,IF(G$9=2,'Raw Data Input'!$AS88,IF(G$9=3,'Raw Data Input'!$AY88,IF(G$9=4,'Raw Data Input'!$BE88,IF(G$9=0,0)))))</f>
        <v>2.5843738693059901E-3</v>
      </c>
      <c r="H166" s="323">
        <f>IF(H$9=1,'Raw Data Input'!$AM88,IF(H$9=2,'Raw Data Input'!$AS88,IF(H$9=3,'Raw Data Input'!$AY88,IF(H$9=4,'Raw Data Input'!$BE88,IF(H$9=0,0)))))</f>
        <v>2.5843738693059901E-3</v>
      </c>
      <c r="I166" s="323">
        <f>IF(I$9=1,'Raw Data Input'!$AM88,IF(I$9=2,'Raw Data Input'!$AS88,IF(I$9=3,'Raw Data Input'!$AY88,IF(I$9=4,'Raw Data Input'!$BE88,IF(I$9=0,0)))))</f>
        <v>2.5843738693059901E-3</v>
      </c>
      <c r="J166" s="323">
        <f>IF(J$9=1,'Raw Data Input'!$AM88,IF(J$9=2,'Raw Data Input'!$AS88,IF(J$9=3,'Raw Data Input'!$AY88,IF(J$9=4,'Raw Data Input'!$BE88,IF(J$9=0,0)))))</f>
        <v>2.5843738693059901E-3</v>
      </c>
      <c r="K166" s="323">
        <f>IF(K$9=1,'Raw Data Input'!$AM88,IF(K$9=2,'Raw Data Input'!$AS88,IF(K$9=3,'Raw Data Input'!$AY88,IF(K$9=4,'Raw Data Input'!$BE88,IF(K$9=0,0)))))</f>
        <v>3.0799283913300001E-3</v>
      </c>
      <c r="L166" s="323">
        <f>IF(L$9=1,'Raw Data Input'!$AM88,IF(L$9=2,'Raw Data Input'!$AS88,IF(L$9=3,'Raw Data Input'!$AY88,IF(L$9=4,'Raw Data Input'!$BE88,IF(L$9=0,0)))))</f>
        <v>3.0799283913300001E-3</v>
      </c>
      <c r="M166" s="323">
        <f>IF(M$9=1,'Raw Data Input'!$AM88,IF(M$9=2,'Raw Data Input'!$AS88,IF(M$9=3,'Raw Data Input'!$AY88,IF(M$9=4,'Raw Data Input'!$BE88,IF(M$9=0,0)))))</f>
        <v>3.0799283913300001E-3</v>
      </c>
      <c r="N166" s="323">
        <f>IF(N$9=1,'Raw Data Input'!$AM88,IF(N$9=2,'Raw Data Input'!$AS88,IF(N$9=3,'Raw Data Input'!$AY88,IF(N$9=4,'Raw Data Input'!$BE88,IF(N$9=0,0)))))</f>
        <v>3.0799283913300001E-3</v>
      </c>
      <c r="O166" s="323">
        <f>IF(O$9=1,'Raw Data Input'!$AM88,IF(O$9=2,'Raw Data Input'!$AS88,IF(O$9=3,'Raw Data Input'!$AY88,IF(O$9=4,'Raw Data Input'!$BE88,IF(O$9=0,0)))))</f>
        <v>3.0799283913300001E-3</v>
      </c>
      <c r="P166" s="323">
        <f>IF(P$9=1,'Raw Data Input'!$AM88,IF(P$9=2,'Raw Data Input'!$AS88,IF(P$9=3,'Raw Data Input'!$AY88,IF(P$9=4,'Raw Data Input'!$BE88,IF(P$9=0,0)))))</f>
        <v>3.0799283913300001E-3</v>
      </c>
      <c r="Q166" s="323">
        <f>IF(Q$9=1,'Raw Data Input'!$AM88,IF(Q$9=2,'Raw Data Input'!$AS88,IF(Q$9=3,'Raw Data Input'!$AY88,IF(Q$9=4,'Raw Data Input'!$BE88,IF(Q$9=0,0)))))</f>
        <v>3.0799283913300001E-3</v>
      </c>
      <c r="R166" s="323">
        <f>IF(R$9=1,'Raw Data Input'!$AM88,IF(R$9=2,'Raw Data Input'!$AS88,IF(R$9=3,'Raw Data Input'!$AY88,IF(R$9=4,'Raw Data Input'!$BE88,IF(R$9=0,0)))))</f>
        <v>3.0869999999999999E-3</v>
      </c>
      <c r="S166" s="323">
        <f>IF(S$9=1,'Raw Data Input'!$AM88,IF(S$9=2,'Raw Data Input'!$AS88,IF(S$9=3,'Raw Data Input'!$AY88,IF(S$9=4,'Raw Data Input'!$BE88,IF(S$9=0,0)))))</f>
        <v>3.0869999999999999E-3</v>
      </c>
      <c r="T166" s="323">
        <f>IF(T$9=1,'Raw Data Input'!$AM88,IF(T$9=2,'Raw Data Input'!$AS88,IF(T$9=3,'Raw Data Input'!$AY88,IF(T$9=4,'Raw Data Input'!$BE88,IF(T$9=0,0)))))</f>
        <v>3.0869999999999999E-3</v>
      </c>
      <c r="U166" s="323">
        <f>IF(U$9=1,'Raw Data Input'!$AM88,IF(U$9=2,'Raw Data Input'!$AS88,IF(U$9=3,'Raw Data Input'!$AY88,IF(U$9=4,'Raw Data Input'!$BE88,IF(U$9=0,0)))))</f>
        <v>3.0869999999999999E-3</v>
      </c>
      <c r="V166" s="323">
        <f>IF(V$9=1,'Raw Data Input'!$AM88,IF(V$9=2,'Raw Data Input'!$AS88,IF(V$9=3,'Raw Data Input'!$AY88,IF(V$9=4,'Raw Data Input'!$BE88,IF(V$9=0,0)))))</f>
        <v>3.0869999999999999E-3</v>
      </c>
      <c r="W166" s="323">
        <f>IF(W$9=1,'Raw Data Input'!$AM88,IF(W$9=2,'Raw Data Input'!$AS88,IF(W$9=3,'Raw Data Input'!$AY88,IF(W$9=4,'Raw Data Input'!$BE88,IF(W$9=0,0)))))</f>
        <v>3.0869999999999999E-3</v>
      </c>
      <c r="X166" s="323">
        <f>IF(X$9=1,'Raw Data Input'!$AM88,IF(X$9=2,'Raw Data Input'!$AS88,IF(X$9=3,'Raw Data Input'!$AY88,IF(X$9=4,'Raw Data Input'!$BE88,IF(X$9=0,0)))))</f>
        <v>3.0869999999999999E-3</v>
      </c>
      <c r="Y166" s="323">
        <f>IF(Y$9=1,'Raw Data Input'!$AM88,IF(Y$9=2,'Raw Data Input'!$AS88,IF(Y$9=3,'Raw Data Input'!$AY88,IF(Y$9=4,'Raw Data Input'!$BE88,IF(Y$9=0,0)))))</f>
        <v>3.0869999999999999E-3</v>
      </c>
      <c r="Z166" s="323">
        <f>IF(Z$9=1,'Raw Data Input'!$AM88,IF(Z$9=2,'Raw Data Input'!$AS88,IF(Z$9=3,'Raw Data Input'!$AY88,IF(Z$9=4,'Raw Data Input'!$BE88,IF(Z$9=0,0)))))</f>
        <v>3.0869999999999999E-3</v>
      </c>
      <c r="AA166" s="323">
        <f>IF(AA$9=1,'Raw Data Input'!$AM88,IF(AA$9=2,'Raw Data Input'!$AS88,IF(AA$9=3,'Raw Data Input'!$AY88,IF(AA$9=4,'Raw Data Input'!$BE88,IF(AA$9=0,0)))))</f>
        <v>2.5843738693059901E-3</v>
      </c>
      <c r="AB166" s="323">
        <f>IF(AB$9=1,'Raw Data Input'!$AM88,IF(AB$9=2,'Raw Data Input'!$AS88,IF(AB$9=3,'Raw Data Input'!$AY88,IF(AB$9=4,'Raw Data Input'!$BE88,IF(AB$9=0,0)))))</f>
        <v>2.5843738693059901E-3</v>
      </c>
      <c r="AC166" s="323">
        <f>IF(AC$9=1,'Raw Data Input'!$AM88,IF(AC$9=2,'Raw Data Input'!$AS88,IF(AC$9=3,'Raw Data Input'!$AY88,IF(AC$9=4,'Raw Data Input'!$BE88,IF(AC$9=0,0)))))</f>
        <v>2.5843738693059901E-3</v>
      </c>
      <c r="AD166" s="323">
        <f>IF(AD$9=1,'Raw Data Input'!$AM88,IF(AD$9=2,'Raw Data Input'!$AS88,IF(AD$9=3,'Raw Data Input'!$AY88,IF(AD$9=4,'Raw Data Input'!$BE88,IF(AD$9=0,0)))))</f>
        <v>2.5843738693059901E-3</v>
      </c>
      <c r="AE166" s="323">
        <f>IF(AE$9=1,'Raw Data Input'!$AM88,IF(AE$9=2,'Raw Data Input'!$AS88,IF(AE$9=3,'Raw Data Input'!$AY88,IF(AE$9=4,'Raw Data Input'!$BE88,IF(AE$9=0,0)))))</f>
        <v>2.5843738693059901E-3</v>
      </c>
      <c r="AF166" s="323">
        <f>IF(AF$9=1,'Raw Data Input'!$AM88,IF(AF$9=2,'Raw Data Input'!$AS88,IF(AF$9=3,'Raw Data Input'!$AY88,IF(AF$9=4,'Raw Data Input'!$BE88,IF(AF$9=0,0)))))</f>
        <v>2.5843738693059901E-3</v>
      </c>
      <c r="AG166" s="323"/>
    </row>
    <row r="167" spans="1:33" s="262" customFormat="1" x14ac:dyDescent="0.2">
      <c r="A167" s="212" t="s">
        <v>385</v>
      </c>
      <c r="B167" s="61"/>
      <c r="C167" s="323">
        <f>IF(C$9=1,'Raw Data Input'!$AN88,IF(C$9=2,'Raw Data Input'!$AT88,IF(C$9=3,'Raw Data Input'!$AZ88,IF(C$9=4,'Raw Data Input'!$BF88,IF(C$9=0,0)))))</f>
        <v>7.0000000000000007E-2</v>
      </c>
      <c r="D167" s="323">
        <f>IF(D$9=1,'Raw Data Input'!$AN88,IF(D$9=2,'Raw Data Input'!$AT88,IF(D$9=3,'Raw Data Input'!$AZ88,IF(D$9=4,'Raw Data Input'!$BF88,IF(D$9=0,0)))))</f>
        <v>7.0000000000000007E-2</v>
      </c>
      <c r="E167" s="323">
        <f>IF(E$9=1,'Raw Data Input'!$AN88,IF(E$9=2,'Raw Data Input'!$AT88,IF(E$9=3,'Raw Data Input'!$AZ88,IF(E$9=4,'Raw Data Input'!$BF88,IF(E$9=0,0)))))</f>
        <v>7.0000000000000007E-2</v>
      </c>
      <c r="F167" s="323">
        <f>IF(F$9=1,'Raw Data Input'!$AN88,IF(F$9=2,'Raw Data Input'!$AT88,IF(F$9=3,'Raw Data Input'!$AZ88,IF(F$9=4,'Raw Data Input'!$BF88,IF(F$9=0,0)))))</f>
        <v>7.0000000000000007E-2</v>
      </c>
      <c r="G167" s="323">
        <f>IF(G$9=1,'Raw Data Input'!$AN88,IF(G$9=2,'Raw Data Input'!$AT88,IF(G$9=3,'Raw Data Input'!$AZ88,IF(G$9=4,'Raw Data Input'!$BF88,IF(G$9=0,0)))))</f>
        <v>7.0000000000000007E-2</v>
      </c>
      <c r="H167" s="323">
        <f>IF(H$9=1,'Raw Data Input'!$AN88,IF(H$9=2,'Raw Data Input'!$AT88,IF(H$9=3,'Raw Data Input'!$AZ88,IF(H$9=4,'Raw Data Input'!$BF88,IF(H$9=0,0)))))</f>
        <v>7.0000000000000007E-2</v>
      </c>
      <c r="I167" s="323">
        <f>IF(I$9=1,'Raw Data Input'!$AN88,IF(I$9=2,'Raw Data Input'!$AT88,IF(I$9=3,'Raw Data Input'!$AZ88,IF(I$9=4,'Raw Data Input'!$BF88,IF(I$9=0,0)))))</f>
        <v>7.0000000000000007E-2</v>
      </c>
      <c r="J167" s="323">
        <f>IF(J$9=1,'Raw Data Input'!$AN88,IF(J$9=2,'Raw Data Input'!$AT88,IF(J$9=3,'Raw Data Input'!$AZ88,IF(J$9=4,'Raw Data Input'!$BF88,IF(J$9=0,0)))))</f>
        <v>7.0000000000000007E-2</v>
      </c>
      <c r="K167" s="323">
        <f>IF(K$9=1,'Raw Data Input'!$AN88,IF(K$9=2,'Raw Data Input'!$AT88,IF(K$9=3,'Raw Data Input'!$AZ88,IF(K$9=4,'Raw Data Input'!$BF88,IF(K$9=0,0)))))</f>
        <v>1.2842770415199999E-2</v>
      </c>
      <c r="L167" s="323">
        <f>IF(L$9=1,'Raw Data Input'!$AN88,IF(L$9=2,'Raw Data Input'!$AT88,IF(L$9=3,'Raw Data Input'!$AZ88,IF(L$9=4,'Raw Data Input'!$BF88,IF(L$9=0,0)))))</f>
        <v>1.2842770415199999E-2</v>
      </c>
      <c r="M167" s="323">
        <f>IF(M$9=1,'Raw Data Input'!$AN88,IF(M$9=2,'Raw Data Input'!$AT88,IF(M$9=3,'Raw Data Input'!$AZ88,IF(M$9=4,'Raw Data Input'!$BF88,IF(M$9=0,0)))))</f>
        <v>1.2842770415199999E-2</v>
      </c>
      <c r="N167" s="323">
        <f>IF(N$9=1,'Raw Data Input'!$AN88,IF(N$9=2,'Raw Data Input'!$AT88,IF(N$9=3,'Raw Data Input'!$AZ88,IF(N$9=4,'Raw Data Input'!$BF88,IF(N$9=0,0)))))</f>
        <v>1.2842770415199999E-2</v>
      </c>
      <c r="O167" s="323">
        <f>IF(O$9=1,'Raw Data Input'!$AN88,IF(O$9=2,'Raw Data Input'!$AT88,IF(O$9=3,'Raw Data Input'!$AZ88,IF(O$9=4,'Raw Data Input'!$BF88,IF(O$9=0,0)))))</f>
        <v>1.2842770415199999E-2</v>
      </c>
      <c r="P167" s="323">
        <f>IF(P$9=1,'Raw Data Input'!$AN88,IF(P$9=2,'Raw Data Input'!$AT88,IF(P$9=3,'Raw Data Input'!$AZ88,IF(P$9=4,'Raw Data Input'!$BF88,IF(P$9=0,0)))))</f>
        <v>1.2842770415199999E-2</v>
      </c>
      <c r="Q167" s="323">
        <f>IF(Q$9=1,'Raw Data Input'!$AN88,IF(Q$9=2,'Raw Data Input'!$AT88,IF(Q$9=3,'Raw Data Input'!$AZ88,IF(Q$9=4,'Raw Data Input'!$BF88,IF(Q$9=0,0)))))</f>
        <v>1.2842770415199999E-2</v>
      </c>
      <c r="R167" s="323">
        <f>IF(R$9=1,'Raw Data Input'!$AN88,IF(R$9=2,'Raw Data Input'!$AT88,IF(R$9=3,'Raw Data Input'!$AZ88,IF(R$9=4,'Raw Data Input'!$BF88,IF(R$9=0,0)))))</f>
        <v>1.2840000000000001E-2</v>
      </c>
      <c r="S167" s="323">
        <f>IF(S$9=1,'Raw Data Input'!$AN88,IF(S$9=2,'Raw Data Input'!$AT88,IF(S$9=3,'Raw Data Input'!$AZ88,IF(S$9=4,'Raw Data Input'!$BF88,IF(S$9=0,0)))))</f>
        <v>1.2840000000000001E-2</v>
      </c>
      <c r="T167" s="323">
        <f>IF(T$9=1,'Raw Data Input'!$AN88,IF(T$9=2,'Raw Data Input'!$AT88,IF(T$9=3,'Raw Data Input'!$AZ88,IF(T$9=4,'Raw Data Input'!$BF88,IF(T$9=0,0)))))</f>
        <v>1.2840000000000001E-2</v>
      </c>
      <c r="U167" s="323">
        <f>IF(U$9=1,'Raw Data Input'!$AN88,IF(U$9=2,'Raw Data Input'!$AT88,IF(U$9=3,'Raw Data Input'!$AZ88,IF(U$9=4,'Raw Data Input'!$BF88,IF(U$9=0,0)))))</f>
        <v>1.2840000000000001E-2</v>
      </c>
      <c r="V167" s="323">
        <f>IF(V$9=1,'Raw Data Input'!$AN88,IF(V$9=2,'Raw Data Input'!$AT88,IF(V$9=3,'Raw Data Input'!$AZ88,IF(V$9=4,'Raw Data Input'!$BF88,IF(V$9=0,0)))))</f>
        <v>1.2840000000000001E-2</v>
      </c>
      <c r="W167" s="323">
        <f>IF(W$9=1,'Raw Data Input'!$AN88,IF(W$9=2,'Raw Data Input'!$AT88,IF(W$9=3,'Raw Data Input'!$AZ88,IF(W$9=4,'Raw Data Input'!$BF88,IF(W$9=0,0)))))</f>
        <v>1.2840000000000001E-2</v>
      </c>
      <c r="X167" s="323">
        <f>IF(X$9=1,'Raw Data Input'!$AN88,IF(X$9=2,'Raw Data Input'!$AT88,IF(X$9=3,'Raw Data Input'!$AZ88,IF(X$9=4,'Raw Data Input'!$BF88,IF(X$9=0,0)))))</f>
        <v>1.2840000000000001E-2</v>
      </c>
      <c r="Y167" s="323">
        <f>IF(Y$9=1,'Raw Data Input'!$AN88,IF(Y$9=2,'Raw Data Input'!$AT88,IF(Y$9=3,'Raw Data Input'!$AZ88,IF(Y$9=4,'Raw Data Input'!$BF88,IF(Y$9=0,0)))))</f>
        <v>1.2840000000000001E-2</v>
      </c>
      <c r="Z167" s="323">
        <f>IF(Z$9=1,'Raw Data Input'!$AN88,IF(Z$9=2,'Raw Data Input'!$AT88,IF(Z$9=3,'Raw Data Input'!$AZ88,IF(Z$9=4,'Raw Data Input'!$BF88,IF(Z$9=0,0)))))</f>
        <v>1.2840000000000001E-2</v>
      </c>
      <c r="AA167" s="323">
        <f>IF(AA$9=1,'Raw Data Input'!$AN88,IF(AA$9=2,'Raw Data Input'!$AT88,IF(AA$9=3,'Raw Data Input'!$AZ88,IF(AA$9=4,'Raw Data Input'!$BF88,IF(AA$9=0,0)))))</f>
        <v>7.0000000000000007E-2</v>
      </c>
      <c r="AB167" s="323">
        <f>IF(AB$9=1,'Raw Data Input'!$AN88,IF(AB$9=2,'Raw Data Input'!$AT88,IF(AB$9=3,'Raw Data Input'!$AZ88,IF(AB$9=4,'Raw Data Input'!$BF88,IF(AB$9=0,0)))))</f>
        <v>7.0000000000000007E-2</v>
      </c>
      <c r="AC167" s="323">
        <f>IF(AC$9=1,'Raw Data Input'!$AN88,IF(AC$9=2,'Raw Data Input'!$AT88,IF(AC$9=3,'Raw Data Input'!$AZ88,IF(AC$9=4,'Raw Data Input'!$BF88,IF(AC$9=0,0)))))</f>
        <v>7.0000000000000007E-2</v>
      </c>
      <c r="AD167" s="323">
        <f>IF(AD$9=1,'Raw Data Input'!$AN88,IF(AD$9=2,'Raw Data Input'!$AT88,IF(AD$9=3,'Raw Data Input'!$AZ88,IF(AD$9=4,'Raw Data Input'!$BF88,IF(AD$9=0,0)))))</f>
        <v>7.0000000000000007E-2</v>
      </c>
      <c r="AE167" s="323">
        <f>IF(AE$9=1,'Raw Data Input'!$AN88,IF(AE$9=2,'Raw Data Input'!$AT88,IF(AE$9=3,'Raw Data Input'!$AZ88,IF(AE$9=4,'Raw Data Input'!$BF88,IF(AE$9=0,0)))))</f>
        <v>7.0000000000000007E-2</v>
      </c>
      <c r="AF167" s="323">
        <f>IF(AF$9=1,'Raw Data Input'!$AN88,IF(AF$9=2,'Raw Data Input'!$AT88,IF(AF$9=3,'Raw Data Input'!$AZ88,IF(AF$9=4,'Raw Data Input'!$BF88,IF(AF$9=0,0)))))</f>
        <v>7.0000000000000007E-2</v>
      </c>
      <c r="AG167" s="323"/>
    </row>
    <row r="168" spans="1:33" s="262" customFormat="1" x14ac:dyDescent="0.2">
      <c r="A168" s="198" t="s">
        <v>421</v>
      </c>
      <c r="B168" s="62"/>
      <c r="C168" s="323">
        <f>IF(C$9=1,'Raw Data Input'!$AM89,IF(C$9=2,'Raw Data Input'!$AS89,IF(C$9=3,'Raw Data Input'!$AY89,IF(C$9=4,'Raw Data Input'!$BE89,IF(C$9=0,0)))))</f>
        <v>1.0070658940847199</v>
      </c>
      <c r="D168" s="323">
        <f>IF(D$9=1,'Raw Data Input'!$AM89,IF(D$9=2,'Raw Data Input'!$AS89,IF(D$9=3,'Raw Data Input'!$AY89,IF(D$9=4,'Raw Data Input'!$BE89,IF(D$9=0,0)))))</f>
        <v>1.0070658940847199</v>
      </c>
      <c r="E168" s="323">
        <f>IF(E$9=1,'Raw Data Input'!$AM89,IF(E$9=2,'Raw Data Input'!$AS89,IF(E$9=3,'Raw Data Input'!$AY89,IF(E$9=4,'Raw Data Input'!$BE89,IF(E$9=0,0)))))</f>
        <v>1.0070658940847199</v>
      </c>
      <c r="F168" s="323">
        <f>IF(F$9=1,'Raw Data Input'!$AM89,IF(F$9=2,'Raw Data Input'!$AS89,IF(F$9=3,'Raw Data Input'!$AY89,IF(F$9=4,'Raw Data Input'!$BE89,IF(F$9=0,0)))))</f>
        <v>1.0070658940847199</v>
      </c>
      <c r="G168" s="323">
        <f>IF(G$9=1,'Raw Data Input'!$AM89,IF(G$9=2,'Raw Data Input'!$AS89,IF(G$9=3,'Raw Data Input'!$AY89,IF(G$9=4,'Raw Data Input'!$BE89,IF(G$9=0,0)))))</f>
        <v>1.0070658940847199</v>
      </c>
      <c r="H168" s="323">
        <f>IF(H$9=1,'Raw Data Input'!$AM89,IF(H$9=2,'Raw Data Input'!$AS89,IF(H$9=3,'Raw Data Input'!$AY89,IF(H$9=4,'Raw Data Input'!$BE89,IF(H$9=0,0)))))</f>
        <v>1.0070658940847199</v>
      </c>
      <c r="I168" s="323">
        <f>IF(I$9=1,'Raw Data Input'!$AM89,IF(I$9=2,'Raw Data Input'!$AS89,IF(I$9=3,'Raw Data Input'!$AY89,IF(I$9=4,'Raw Data Input'!$BE89,IF(I$9=0,0)))))</f>
        <v>1.0070658940847199</v>
      </c>
      <c r="J168" s="323">
        <f>IF(J$9=1,'Raw Data Input'!$AM89,IF(J$9=2,'Raw Data Input'!$AS89,IF(J$9=3,'Raw Data Input'!$AY89,IF(J$9=4,'Raw Data Input'!$BE89,IF(J$9=0,0)))))</f>
        <v>1.0070658940847199</v>
      </c>
      <c r="K168" s="323">
        <f>IF(K$9=1,'Raw Data Input'!$AM89,IF(K$9=2,'Raw Data Input'!$AS89,IF(K$9=3,'Raw Data Input'!$AY89,IF(K$9=4,'Raw Data Input'!$BE89,IF(K$9=0,0)))))</f>
        <v>0.99506179731383804</v>
      </c>
      <c r="L168" s="323">
        <f>IF(L$9=1,'Raw Data Input'!$AM89,IF(L$9=2,'Raw Data Input'!$AS89,IF(L$9=3,'Raw Data Input'!$AY89,IF(L$9=4,'Raw Data Input'!$BE89,IF(L$9=0,0)))))</f>
        <v>0.99506179731383804</v>
      </c>
      <c r="M168" s="323">
        <f>IF(M$9=1,'Raw Data Input'!$AM89,IF(M$9=2,'Raw Data Input'!$AS89,IF(M$9=3,'Raw Data Input'!$AY89,IF(M$9=4,'Raw Data Input'!$BE89,IF(M$9=0,0)))))</f>
        <v>0.99506179731383804</v>
      </c>
      <c r="N168" s="323">
        <f>IF(N$9=1,'Raw Data Input'!$AM89,IF(N$9=2,'Raw Data Input'!$AS89,IF(N$9=3,'Raw Data Input'!$AY89,IF(N$9=4,'Raw Data Input'!$BE89,IF(N$9=0,0)))))</f>
        <v>0.99506179731383804</v>
      </c>
      <c r="O168" s="323">
        <f>IF(O$9=1,'Raw Data Input'!$AM89,IF(O$9=2,'Raw Data Input'!$AS89,IF(O$9=3,'Raw Data Input'!$AY89,IF(O$9=4,'Raw Data Input'!$BE89,IF(O$9=0,0)))))</f>
        <v>0.99506179731383804</v>
      </c>
      <c r="P168" s="323">
        <f>IF(P$9=1,'Raw Data Input'!$AM89,IF(P$9=2,'Raw Data Input'!$AS89,IF(P$9=3,'Raw Data Input'!$AY89,IF(P$9=4,'Raw Data Input'!$BE89,IF(P$9=0,0)))))</f>
        <v>0.99506179731383804</v>
      </c>
      <c r="Q168" s="323">
        <f>IF(Q$9=1,'Raw Data Input'!$AM89,IF(Q$9=2,'Raw Data Input'!$AS89,IF(Q$9=3,'Raw Data Input'!$AY89,IF(Q$9=4,'Raw Data Input'!$BE89,IF(Q$9=0,0)))))</f>
        <v>0.99506179731383804</v>
      </c>
      <c r="R168" s="323">
        <f>IF(R$9=1,'Raw Data Input'!$AM89,IF(R$9=2,'Raw Data Input'!$AS89,IF(R$9=3,'Raw Data Input'!$AY89,IF(R$9=4,'Raw Data Input'!$BE89,IF(R$9=0,0)))))</f>
        <v>0.99506179731383804</v>
      </c>
      <c r="S168" s="323">
        <f>IF(S$9=1,'Raw Data Input'!$AM89,IF(S$9=2,'Raw Data Input'!$AS89,IF(S$9=3,'Raw Data Input'!$AY89,IF(S$9=4,'Raw Data Input'!$BE89,IF(S$9=0,0)))))</f>
        <v>0.99506179731383804</v>
      </c>
      <c r="T168" s="323">
        <f>IF(T$9=1,'Raw Data Input'!$AM89,IF(T$9=2,'Raw Data Input'!$AS89,IF(T$9=3,'Raw Data Input'!$AY89,IF(T$9=4,'Raw Data Input'!$BE89,IF(T$9=0,0)))))</f>
        <v>0.99506179731383804</v>
      </c>
      <c r="U168" s="323">
        <f>IF(U$9=1,'Raw Data Input'!$AM89,IF(U$9=2,'Raw Data Input'!$AS89,IF(U$9=3,'Raw Data Input'!$AY89,IF(U$9=4,'Raw Data Input'!$BE89,IF(U$9=0,0)))))</f>
        <v>0.99506179731383804</v>
      </c>
      <c r="V168" s="323">
        <f>IF(V$9=1,'Raw Data Input'!$AM89,IF(V$9=2,'Raw Data Input'!$AS89,IF(V$9=3,'Raw Data Input'!$AY89,IF(V$9=4,'Raw Data Input'!$BE89,IF(V$9=0,0)))))</f>
        <v>0.99506179731383804</v>
      </c>
      <c r="W168" s="323">
        <f>IF(W$9=1,'Raw Data Input'!$AM89,IF(W$9=2,'Raw Data Input'!$AS89,IF(W$9=3,'Raw Data Input'!$AY89,IF(W$9=4,'Raw Data Input'!$BE89,IF(W$9=0,0)))))</f>
        <v>0.99506179731383804</v>
      </c>
      <c r="X168" s="323">
        <f>IF(X$9=1,'Raw Data Input'!$AM89,IF(X$9=2,'Raw Data Input'!$AS89,IF(X$9=3,'Raw Data Input'!$AY89,IF(X$9=4,'Raw Data Input'!$BE89,IF(X$9=0,0)))))</f>
        <v>0.99506179731383804</v>
      </c>
      <c r="Y168" s="323">
        <f>IF(Y$9=1,'Raw Data Input'!$AM89,IF(Y$9=2,'Raw Data Input'!$AS89,IF(Y$9=3,'Raw Data Input'!$AY89,IF(Y$9=4,'Raw Data Input'!$BE89,IF(Y$9=0,0)))))</f>
        <v>0.99506179731383804</v>
      </c>
      <c r="Z168" s="323">
        <f>IF(Z$9=1,'Raw Data Input'!$AM89,IF(Z$9=2,'Raw Data Input'!$AS89,IF(Z$9=3,'Raw Data Input'!$AY89,IF(Z$9=4,'Raw Data Input'!$BE89,IF(Z$9=0,0)))))</f>
        <v>0.99506179731383804</v>
      </c>
      <c r="AA168" s="323">
        <f>IF(AA$9=1,'Raw Data Input'!$AM89,IF(AA$9=2,'Raw Data Input'!$AS89,IF(AA$9=3,'Raw Data Input'!$AY89,IF(AA$9=4,'Raw Data Input'!$BE89,IF(AA$9=0,0)))))</f>
        <v>1.0070658940847199</v>
      </c>
      <c r="AB168" s="323">
        <f>IF(AB$9=1,'Raw Data Input'!$AM89,IF(AB$9=2,'Raw Data Input'!$AS89,IF(AB$9=3,'Raw Data Input'!$AY89,IF(AB$9=4,'Raw Data Input'!$BE89,IF(AB$9=0,0)))))</f>
        <v>1.0070658940847199</v>
      </c>
      <c r="AC168" s="323">
        <f>IF(AC$9=1,'Raw Data Input'!$AM89,IF(AC$9=2,'Raw Data Input'!$AS89,IF(AC$9=3,'Raw Data Input'!$AY89,IF(AC$9=4,'Raw Data Input'!$BE89,IF(AC$9=0,0)))))</f>
        <v>1.0070658940847199</v>
      </c>
      <c r="AD168" s="323">
        <f>IF(AD$9=1,'Raw Data Input'!$AM89,IF(AD$9=2,'Raw Data Input'!$AS89,IF(AD$9=3,'Raw Data Input'!$AY89,IF(AD$9=4,'Raw Data Input'!$BE89,IF(AD$9=0,0)))))</f>
        <v>1.0070658940847199</v>
      </c>
      <c r="AE168" s="323">
        <f>IF(AE$9=1,'Raw Data Input'!$AM89,IF(AE$9=2,'Raw Data Input'!$AS89,IF(AE$9=3,'Raw Data Input'!$AY89,IF(AE$9=4,'Raw Data Input'!$BE89,IF(AE$9=0,0)))))</f>
        <v>1.0070658940847199</v>
      </c>
      <c r="AF168" s="323">
        <f>IF(AF$9=1,'Raw Data Input'!$AM89,IF(AF$9=2,'Raw Data Input'!$AS89,IF(AF$9=3,'Raw Data Input'!$AY89,IF(AF$9=4,'Raw Data Input'!$BE89,IF(AF$9=0,0)))))</f>
        <v>1.0070658940847199</v>
      </c>
      <c r="AG168" s="323"/>
    </row>
    <row r="169" spans="1:33" s="262" customFormat="1" x14ac:dyDescent="0.2">
      <c r="A169" s="212" t="s">
        <v>385</v>
      </c>
      <c r="B169" s="61"/>
      <c r="C169" s="323">
        <f>IF(C$9=1,'Raw Data Input'!$AN89,IF(C$9=2,'Raw Data Input'!$AT89,IF(C$9=3,'Raw Data Input'!$AZ89,IF(C$9=4,'Raw Data Input'!$BF89,IF(C$9=0,0)))))</f>
        <v>0.01</v>
      </c>
      <c r="D169" s="323">
        <f>IF(D$9=1,'Raw Data Input'!$AN89,IF(D$9=2,'Raw Data Input'!$AT89,IF(D$9=3,'Raw Data Input'!$AZ89,IF(D$9=4,'Raw Data Input'!$BF89,IF(D$9=0,0)))))</f>
        <v>0.01</v>
      </c>
      <c r="E169" s="323">
        <f>IF(E$9=1,'Raw Data Input'!$AN89,IF(E$9=2,'Raw Data Input'!$AT89,IF(E$9=3,'Raw Data Input'!$AZ89,IF(E$9=4,'Raw Data Input'!$BF89,IF(E$9=0,0)))))</f>
        <v>0.01</v>
      </c>
      <c r="F169" s="323">
        <f>IF(F$9=1,'Raw Data Input'!$AN89,IF(F$9=2,'Raw Data Input'!$AT89,IF(F$9=3,'Raw Data Input'!$AZ89,IF(F$9=4,'Raw Data Input'!$BF89,IF(F$9=0,0)))))</f>
        <v>0.01</v>
      </c>
      <c r="G169" s="323">
        <f>IF(G$9=1,'Raw Data Input'!$AN89,IF(G$9=2,'Raw Data Input'!$AT89,IF(G$9=3,'Raw Data Input'!$AZ89,IF(G$9=4,'Raw Data Input'!$BF89,IF(G$9=0,0)))))</f>
        <v>0.01</v>
      </c>
      <c r="H169" s="323">
        <f>IF(H$9=1,'Raw Data Input'!$AN89,IF(H$9=2,'Raw Data Input'!$AT89,IF(H$9=3,'Raw Data Input'!$AZ89,IF(H$9=4,'Raw Data Input'!$BF89,IF(H$9=0,0)))))</f>
        <v>0.01</v>
      </c>
      <c r="I169" s="323">
        <f>IF(I$9=1,'Raw Data Input'!$AN89,IF(I$9=2,'Raw Data Input'!$AT89,IF(I$9=3,'Raw Data Input'!$AZ89,IF(I$9=4,'Raw Data Input'!$BF89,IF(I$9=0,0)))))</f>
        <v>0.01</v>
      </c>
      <c r="J169" s="323">
        <f>IF(J$9=1,'Raw Data Input'!$AN89,IF(J$9=2,'Raw Data Input'!$AT89,IF(J$9=3,'Raw Data Input'!$AZ89,IF(J$9=4,'Raw Data Input'!$BF89,IF(J$9=0,0)))))</f>
        <v>0.01</v>
      </c>
      <c r="K169" s="323">
        <f>IF(K$9=1,'Raw Data Input'!$AN89,IF(K$9=2,'Raw Data Input'!$AT89,IF(K$9=3,'Raw Data Input'!$AZ89,IF(K$9=4,'Raw Data Input'!$BF89,IF(K$9=0,0)))))</f>
        <v>5.4103655891E-3</v>
      </c>
      <c r="L169" s="323">
        <f>IF(L$9=1,'Raw Data Input'!$AN89,IF(L$9=2,'Raw Data Input'!$AT89,IF(L$9=3,'Raw Data Input'!$AZ89,IF(L$9=4,'Raw Data Input'!$BF89,IF(L$9=0,0)))))</f>
        <v>5.4103655891E-3</v>
      </c>
      <c r="M169" s="323">
        <f>IF(M$9=1,'Raw Data Input'!$AN89,IF(M$9=2,'Raw Data Input'!$AT89,IF(M$9=3,'Raw Data Input'!$AZ89,IF(M$9=4,'Raw Data Input'!$BF89,IF(M$9=0,0)))))</f>
        <v>5.4103655891E-3</v>
      </c>
      <c r="N169" s="323">
        <f>IF(N$9=1,'Raw Data Input'!$AN89,IF(N$9=2,'Raw Data Input'!$AT89,IF(N$9=3,'Raw Data Input'!$AZ89,IF(N$9=4,'Raw Data Input'!$BF89,IF(N$9=0,0)))))</f>
        <v>5.4103655891E-3</v>
      </c>
      <c r="O169" s="323">
        <f>IF(O$9=1,'Raw Data Input'!$AN89,IF(O$9=2,'Raw Data Input'!$AT89,IF(O$9=3,'Raw Data Input'!$AZ89,IF(O$9=4,'Raw Data Input'!$BF89,IF(O$9=0,0)))))</f>
        <v>5.4103655891E-3</v>
      </c>
      <c r="P169" s="323">
        <f>IF(P$9=1,'Raw Data Input'!$AN89,IF(P$9=2,'Raw Data Input'!$AT89,IF(P$9=3,'Raw Data Input'!$AZ89,IF(P$9=4,'Raw Data Input'!$BF89,IF(P$9=0,0)))))</f>
        <v>5.4103655891E-3</v>
      </c>
      <c r="Q169" s="323">
        <f>IF(Q$9=1,'Raw Data Input'!$AN89,IF(Q$9=2,'Raw Data Input'!$AT89,IF(Q$9=3,'Raw Data Input'!$AZ89,IF(Q$9=4,'Raw Data Input'!$BF89,IF(Q$9=0,0)))))</f>
        <v>5.4103655891E-3</v>
      </c>
      <c r="R169" s="323">
        <f>IF(R$9=1,'Raw Data Input'!$AN89,IF(R$9=2,'Raw Data Input'!$AT89,IF(R$9=3,'Raw Data Input'!$AZ89,IF(R$9=4,'Raw Data Input'!$BF89,IF(R$9=0,0)))))</f>
        <v>5.4103600000000003E-3</v>
      </c>
      <c r="S169" s="323">
        <f>IF(S$9=1,'Raw Data Input'!$AN89,IF(S$9=2,'Raw Data Input'!$AT89,IF(S$9=3,'Raw Data Input'!$AZ89,IF(S$9=4,'Raw Data Input'!$BF89,IF(S$9=0,0)))))</f>
        <v>5.4103600000000003E-3</v>
      </c>
      <c r="T169" s="323">
        <f>IF(T$9=1,'Raw Data Input'!$AN89,IF(T$9=2,'Raw Data Input'!$AT89,IF(T$9=3,'Raw Data Input'!$AZ89,IF(T$9=4,'Raw Data Input'!$BF89,IF(T$9=0,0)))))</f>
        <v>5.4103600000000003E-3</v>
      </c>
      <c r="U169" s="323">
        <f>IF(U$9=1,'Raw Data Input'!$AN89,IF(U$9=2,'Raw Data Input'!$AT89,IF(U$9=3,'Raw Data Input'!$AZ89,IF(U$9=4,'Raw Data Input'!$BF89,IF(U$9=0,0)))))</f>
        <v>5.4103600000000003E-3</v>
      </c>
      <c r="V169" s="323">
        <f>IF(V$9=1,'Raw Data Input'!$AN89,IF(V$9=2,'Raw Data Input'!$AT89,IF(V$9=3,'Raw Data Input'!$AZ89,IF(V$9=4,'Raw Data Input'!$BF89,IF(V$9=0,0)))))</f>
        <v>5.4103600000000003E-3</v>
      </c>
      <c r="W169" s="323">
        <f>IF(W$9=1,'Raw Data Input'!$AN89,IF(W$9=2,'Raw Data Input'!$AT89,IF(W$9=3,'Raw Data Input'!$AZ89,IF(W$9=4,'Raw Data Input'!$BF89,IF(W$9=0,0)))))</f>
        <v>5.4103600000000003E-3</v>
      </c>
      <c r="X169" s="323">
        <f>IF(X$9=1,'Raw Data Input'!$AN89,IF(X$9=2,'Raw Data Input'!$AT89,IF(X$9=3,'Raw Data Input'!$AZ89,IF(X$9=4,'Raw Data Input'!$BF89,IF(X$9=0,0)))))</f>
        <v>5.4103600000000003E-3</v>
      </c>
      <c r="Y169" s="323">
        <f>IF(Y$9=1,'Raw Data Input'!$AN89,IF(Y$9=2,'Raw Data Input'!$AT89,IF(Y$9=3,'Raw Data Input'!$AZ89,IF(Y$9=4,'Raw Data Input'!$BF89,IF(Y$9=0,0)))))</f>
        <v>5.4103600000000003E-3</v>
      </c>
      <c r="Z169" s="323">
        <f>IF(Z$9=1,'Raw Data Input'!$AN89,IF(Z$9=2,'Raw Data Input'!$AT89,IF(Z$9=3,'Raw Data Input'!$AZ89,IF(Z$9=4,'Raw Data Input'!$BF89,IF(Z$9=0,0)))))</f>
        <v>5.4103600000000003E-3</v>
      </c>
      <c r="AA169" s="323">
        <f>IF(AA$9=1,'Raw Data Input'!$AN89,IF(AA$9=2,'Raw Data Input'!$AT89,IF(AA$9=3,'Raw Data Input'!$AZ89,IF(AA$9=4,'Raw Data Input'!$BF89,IF(AA$9=0,0)))))</f>
        <v>0.01</v>
      </c>
      <c r="AB169" s="323">
        <f>IF(AB$9=1,'Raw Data Input'!$AN89,IF(AB$9=2,'Raw Data Input'!$AT89,IF(AB$9=3,'Raw Data Input'!$AZ89,IF(AB$9=4,'Raw Data Input'!$BF89,IF(AB$9=0,0)))))</f>
        <v>0.01</v>
      </c>
      <c r="AC169" s="323">
        <f>IF(AC$9=1,'Raw Data Input'!$AN89,IF(AC$9=2,'Raw Data Input'!$AT89,IF(AC$9=3,'Raw Data Input'!$AZ89,IF(AC$9=4,'Raw Data Input'!$BF89,IF(AC$9=0,0)))))</f>
        <v>0.01</v>
      </c>
      <c r="AD169" s="323">
        <f>IF(AD$9=1,'Raw Data Input'!$AN89,IF(AD$9=2,'Raw Data Input'!$AT89,IF(AD$9=3,'Raw Data Input'!$AZ89,IF(AD$9=4,'Raw Data Input'!$BF89,IF(AD$9=0,0)))))</f>
        <v>0.01</v>
      </c>
      <c r="AE169" s="323">
        <f>IF(AE$9=1,'Raw Data Input'!$AN89,IF(AE$9=2,'Raw Data Input'!$AT89,IF(AE$9=3,'Raw Data Input'!$AZ89,IF(AE$9=4,'Raw Data Input'!$BF89,IF(AE$9=0,0)))))</f>
        <v>0.01</v>
      </c>
      <c r="AF169" s="323">
        <f>IF(AF$9=1,'Raw Data Input'!$AN89,IF(AF$9=2,'Raw Data Input'!$AT89,IF(AF$9=3,'Raw Data Input'!$AZ89,IF(AF$9=4,'Raw Data Input'!$BF89,IF(AF$9=0,0)))))</f>
        <v>0.01</v>
      </c>
      <c r="AG169" s="323"/>
    </row>
    <row r="170" spans="1:33" s="262" customFormat="1" x14ac:dyDescent="0.2">
      <c r="A170" s="198" t="s">
        <v>300</v>
      </c>
      <c r="B170" s="62"/>
      <c r="C170" s="323">
        <f>IF(C$9=1,'Raw Data Input'!$AM90,IF(C$9=2,'Raw Data Input'!$AS90,IF(C$9=3,'Raw Data Input'!$AY90,IF(C$9=4,'Raw Data Input'!$BE90,IF(C$9=0,0)))))</f>
        <v>2.5662410816273602E-3</v>
      </c>
      <c r="D170" s="323">
        <f>IF(D$9=1,'Raw Data Input'!$AM90,IF(D$9=2,'Raw Data Input'!$AS90,IF(D$9=3,'Raw Data Input'!$AY90,IF(D$9=4,'Raw Data Input'!$BE90,IF(D$9=0,0)))))</f>
        <v>2.5662410816273602E-3</v>
      </c>
      <c r="E170" s="323">
        <f>IF(E$9=1,'Raw Data Input'!$AM90,IF(E$9=2,'Raw Data Input'!$AS90,IF(E$9=3,'Raw Data Input'!$AY90,IF(E$9=4,'Raw Data Input'!$BE90,IF(E$9=0,0)))))</f>
        <v>2.5662410816273602E-3</v>
      </c>
      <c r="F170" s="323">
        <f>IF(F$9=1,'Raw Data Input'!$AM90,IF(F$9=2,'Raw Data Input'!$AS90,IF(F$9=3,'Raw Data Input'!$AY90,IF(F$9=4,'Raw Data Input'!$BE90,IF(F$9=0,0)))))</f>
        <v>2.5662410816273602E-3</v>
      </c>
      <c r="G170" s="323">
        <f>IF(G$9=1,'Raw Data Input'!$AM90,IF(G$9=2,'Raw Data Input'!$AS90,IF(G$9=3,'Raw Data Input'!$AY90,IF(G$9=4,'Raw Data Input'!$BE90,IF(G$9=0,0)))))</f>
        <v>2.5662410816273602E-3</v>
      </c>
      <c r="H170" s="323">
        <f>IF(H$9=1,'Raw Data Input'!$AM90,IF(H$9=2,'Raw Data Input'!$AS90,IF(H$9=3,'Raw Data Input'!$AY90,IF(H$9=4,'Raw Data Input'!$BE90,IF(H$9=0,0)))))</f>
        <v>2.5662410816273602E-3</v>
      </c>
      <c r="I170" s="323">
        <f>IF(I$9=1,'Raw Data Input'!$AM90,IF(I$9=2,'Raw Data Input'!$AS90,IF(I$9=3,'Raw Data Input'!$AY90,IF(I$9=4,'Raw Data Input'!$BE90,IF(I$9=0,0)))))</f>
        <v>2.5662410816273602E-3</v>
      </c>
      <c r="J170" s="323">
        <f>IF(J$9=1,'Raw Data Input'!$AM90,IF(J$9=2,'Raw Data Input'!$AS90,IF(J$9=3,'Raw Data Input'!$AY90,IF(J$9=4,'Raw Data Input'!$BE90,IF(J$9=0,0)))))</f>
        <v>2.5662410816273602E-3</v>
      </c>
      <c r="K170" s="323">
        <f>IF(K$9=1,'Raw Data Input'!$AM90,IF(K$9=2,'Raw Data Input'!$AS90,IF(K$9=3,'Raw Data Input'!$AY90,IF(K$9=4,'Raw Data Input'!$BE90,IF(K$9=0,0)))))</f>
        <v>3.0952131813770001E-3</v>
      </c>
      <c r="L170" s="323">
        <f>IF(L$9=1,'Raw Data Input'!$AM90,IF(L$9=2,'Raw Data Input'!$AS90,IF(L$9=3,'Raw Data Input'!$AY90,IF(L$9=4,'Raw Data Input'!$BE90,IF(L$9=0,0)))))</f>
        <v>3.0952131813770001E-3</v>
      </c>
      <c r="M170" s="323">
        <f>IF(M$9=1,'Raw Data Input'!$AM90,IF(M$9=2,'Raw Data Input'!$AS90,IF(M$9=3,'Raw Data Input'!$AY90,IF(M$9=4,'Raw Data Input'!$BE90,IF(M$9=0,0)))))</f>
        <v>3.0952131813770001E-3</v>
      </c>
      <c r="N170" s="323">
        <f>IF(N$9=1,'Raw Data Input'!$AM90,IF(N$9=2,'Raw Data Input'!$AS90,IF(N$9=3,'Raw Data Input'!$AY90,IF(N$9=4,'Raw Data Input'!$BE90,IF(N$9=0,0)))))</f>
        <v>3.0952131813770001E-3</v>
      </c>
      <c r="O170" s="323">
        <f>IF(O$9=1,'Raw Data Input'!$AM90,IF(O$9=2,'Raw Data Input'!$AS90,IF(O$9=3,'Raw Data Input'!$AY90,IF(O$9=4,'Raw Data Input'!$BE90,IF(O$9=0,0)))))</f>
        <v>3.0952131813770001E-3</v>
      </c>
      <c r="P170" s="323">
        <f>IF(P$9=1,'Raw Data Input'!$AM90,IF(P$9=2,'Raw Data Input'!$AS90,IF(P$9=3,'Raw Data Input'!$AY90,IF(P$9=4,'Raw Data Input'!$BE90,IF(P$9=0,0)))))</f>
        <v>3.0952131813770001E-3</v>
      </c>
      <c r="Q170" s="323">
        <f>IF(Q$9=1,'Raw Data Input'!$AM90,IF(Q$9=2,'Raw Data Input'!$AS90,IF(Q$9=3,'Raw Data Input'!$AY90,IF(Q$9=4,'Raw Data Input'!$BE90,IF(Q$9=0,0)))))</f>
        <v>3.0952131813770001E-3</v>
      </c>
      <c r="R170" s="323">
        <f>IF(R$9=1,'Raw Data Input'!$AM90,IF(R$9=2,'Raw Data Input'!$AS90,IF(R$9=3,'Raw Data Input'!$AY90,IF(R$9=4,'Raw Data Input'!$BE90,IF(R$9=0,0)))))</f>
        <v>3.1036354862060602E-3</v>
      </c>
      <c r="S170" s="323">
        <f>IF(S$9=1,'Raw Data Input'!$AM90,IF(S$9=2,'Raw Data Input'!$AS90,IF(S$9=3,'Raw Data Input'!$AY90,IF(S$9=4,'Raw Data Input'!$BE90,IF(S$9=0,0)))))</f>
        <v>3.1036354862060602E-3</v>
      </c>
      <c r="T170" s="323">
        <f>IF(T$9=1,'Raw Data Input'!$AM90,IF(T$9=2,'Raw Data Input'!$AS90,IF(T$9=3,'Raw Data Input'!$AY90,IF(T$9=4,'Raw Data Input'!$BE90,IF(T$9=0,0)))))</f>
        <v>3.1036354862060602E-3</v>
      </c>
      <c r="U170" s="323">
        <f>IF(U$9=1,'Raw Data Input'!$AM90,IF(U$9=2,'Raw Data Input'!$AS90,IF(U$9=3,'Raw Data Input'!$AY90,IF(U$9=4,'Raw Data Input'!$BE90,IF(U$9=0,0)))))</f>
        <v>3.1036354862060602E-3</v>
      </c>
      <c r="V170" s="323">
        <f>IF(V$9=1,'Raw Data Input'!$AM90,IF(V$9=2,'Raw Data Input'!$AS90,IF(V$9=3,'Raw Data Input'!$AY90,IF(V$9=4,'Raw Data Input'!$BE90,IF(V$9=0,0)))))</f>
        <v>3.1036354862060602E-3</v>
      </c>
      <c r="W170" s="323">
        <f>IF(W$9=1,'Raw Data Input'!$AM90,IF(W$9=2,'Raw Data Input'!$AS90,IF(W$9=3,'Raw Data Input'!$AY90,IF(W$9=4,'Raw Data Input'!$BE90,IF(W$9=0,0)))))</f>
        <v>3.1036354862060602E-3</v>
      </c>
      <c r="X170" s="323">
        <f>IF(X$9=1,'Raw Data Input'!$AM90,IF(X$9=2,'Raw Data Input'!$AS90,IF(X$9=3,'Raw Data Input'!$AY90,IF(X$9=4,'Raw Data Input'!$BE90,IF(X$9=0,0)))))</f>
        <v>3.1036354862060602E-3</v>
      </c>
      <c r="Y170" s="323">
        <f>IF(Y$9=1,'Raw Data Input'!$AM90,IF(Y$9=2,'Raw Data Input'!$AS90,IF(Y$9=3,'Raw Data Input'!$AY90,IF(Y$9=4,'Raw Data Input'!$BE90,IF(Y$9=0,0)))))</f>
        <v>3.1036354862060602E-3</v>
      </c>
      <c r="Z170" s="323">
        <f>IF(Z$9=1,'Raw Data Input'!$AM90,IF(Z$9=2,'Raw Data Input'!$AS90,IF(Z$9=3,'Raw Data Input'!$AY90,IF(Z$9=4,'Raw Data Input'!$BE90,IF(Z$9=0,0)))))</f>
        <v>3.1036354862060602E-3</v>
      </c>
      <c r="AA170" s="323">
        <f>IF(AA$9=1,'Raw Data Input'!$AM90,IF(AA$9=2,'Raw Data Input'!$AS90,IF(AA$9=3,'Raw Data Input'!$AY90,IF(AA$9=4,'Raw Data Input'!$BE90,IF(AA$9=0,0)))))</f>
        <v>2.5662410816273602E-3</v>
      </c>
      <c r="AB170" s="323">
        <f>IF(AB$9=1,'Raw Data Input'!$AM90,IF(AB$9=2,'Raw Data Input'!$AS90,IF(AB$9=3,'Raw Data Input'!$AY90,IF(AB$9=4,'Raw Data Input'!$BE90,IF(AB$9=0,0)))))</f>
        <v>2.5662410816273602E-3</v>
      </c>
      <c r="AC170" s="323">
        <f>IF(AC$9=1,'Raw Data Input'!$AM90,IF(AC$9=2,'Raw Data Input'!$AS90,IF(AC$9=3,'Raw Data Input'!$AY90,IF(AC$9=4,'Raw Data Input'!$BE90,IF(AC$9=0,0)))))</f>
        <v>2.5662410816273602E-3</v>
      </c>
      <c r="AD170" s="323">
        <f>IF(AD$9=1,'Raw Data Input'!$AM90,IF(AD$9=2,'Raw Data Input'!$AS90,IF(AD$9=3,'Raw Data Input'!$AY90,IF(AD$9=4,'Raw Data Input'!$BE90,IF(AD$9=0,0)))))</f>
        <v>2.5662410816273602E-3</v>
      </c>
      <c r="AE170" s="323">
        <f>IF(AE$9=1,'Raw Data Input'!$AM90,IF(AE$9=2,'Raw Data Input'!$AS90,IF(AE$9=3,'Raw Data Input'!$AY90,IF(AE$9=4,'Raw Data Input'!$BE90,IF(AE$9=0,0)))))</f>
        <v>2.5662410816273602E-3</v>
      </c>
      <c r="AF170" s="323">
        <f>IF(AF$9=1,'Raw Data Input'!$AM90,IF(AF$9=2,'Raw Data Input'!$AS90,IF(AF$9=3,'Raw Data Input'!$AY90,IF(AF$9=4,'Raw Data Input'!$BE90,IF(AF$9=0,0)))))</f>
        <v>2.5662410816273602E-3</v>
      </c>
      <c r="AG170" s="323"/>
    </row>
    <row r="171" spans="1:33" s="262" customFormat="1" x14ac:dyDescent="0.2">
      <c r="A171" s="212" t="s">
        <v>385</v>
      </c>
      <c r="B171" s="61"/>
      <c r="C171" s="323">
        <f>IF(C$9=1,'Raw Data Input'!$AN90,IF(C$9=2,'Raw Data Input'!$AT90,IF(C$9=3,'Raw Data Input'!$AZ90,IF(C$9=4,'Raw Data Input'!$BF90,IF(C$9=0,0)))))</f>
        <v>7.0000000000000007E-2</v>
      </c>
      <c r="D171" s="323">
        <f>IF(D$9=1,'Raw Data Input'!$AN90,IF(D$9=2,'Raw Data Input'!$AT90,IF(D$9=3,'Raw Data Input'!$AZ90,IF(D$9=4,'Raw Data Input'!$BF90,IF(D$9=0,0)))))</f>
        <v>7.0000000000000007E-2</v>
      </c>
      <c r="E171" s="323">
        <f>IF(E$9=1,'Raw Data Input'!$AN90,IF(E$9=2,'Raw Data Input'!$AT90,IF(E$9=3,'Raw Data Input'!$AZ90,IF(E$9=4,'Raw Data Input'!$BF90,IF(E$9=0,0)))))</f>
        <v>7.0000000000000007E-2</v>
      </c>
      <c r="F171" s="323">
        <f>IF(F$9=1,'Raw Data Input'!$AN90,IF(F$9=2,'Raw Data Input'!$AT90,IF(F$9=3,'Raw Data Input'!$AZ90,IF(F$9=4,'Raw Data Input'!$BF90,IF(F$9=0,0)))))</f>
        <v>7.0000000000000007E-2</v>
      </c>
      <c r="G171" s="323">
        <f>IF(G$9=1,'Raw Data Input'!$AN90,IF(G$9=2,'Raw Data Input'!$AT90,IF(G$9=3,'Raw Data Input'!$AZ90,IF(G$9=4,'Raw Data Input'!$BF90,IF(G$9=0,0)))))</f>
        <v>7.0000000000000007E-2</v>
      </c>
      <c r="H171" s="323">
        <f>IF(H$9=1,'Raw Data Input'!$AN90,IF(H$9=2,'Raw Data Input'!$AT90,IF(H$9=3,'Raw Data Input'!$AZ90,IF(H$9=4,'Raw Data Input'!$BF90,IF(H$9=0,0)))))</f>
        <v>7.0000000000000007E-2</v>
      </c>
      <c r="I171" s="323">
        <f>IF(I$9=1,'Raw Data Input'!$AN90,IF(I$9=2,'Raw Data Input'!$AT90,IF(I$9=3,'Raw Data Input'!$AZ90,IF(I$9=4,'Raw Data Input'!$BF90,IF(I$9=0,0)))))</f>
        <v>7.0000000000000007E-2</v>
      </c>
      <c r="J171" s="323">
        <f>IF(J$9=1,'Raw Data Input'!$AN90,IF(J$9=2,'Raw Data Input'!$AT90,IF(J$9=3,'Raw Data Input'!$AZ90,IF(J$9=4,'Raw Data Input'!$BF90,IF(J$9=0,0)))))</f>
        <v>7.0000000000000007E-2</v>
      </c>
      <c r="K171" s="323">
        <f>IF(K$9=1,'Raw Data Input'!$AN90,IF(K$9=2,'Raw Data Input'!$AT90,IF(K$9=3,'Raw Data Input'!$AZ90,IF(K$9=4,'Raw Data Input'!$BF90,IF(K$9=0,0)))))</f>
        <v>1.6635376503799999E-2</v>
      </c>
      <c r="L171" s="323">
        <f>IF(L$9=1,'Raw Data Input'!$AN90,IF(L$9=2,'Raw Data Input'!$AT90,IF(L$9=3,'Raw Data Input'!$AZ90,IF(L$9=4,'Raw Data Input'!$BF90,IF(L$9=0,0)))))</f>
        <v>1.6635376503799999E-2</v>
      </c>
      <c r="M171" s="323">
        <f>IF(M$9=1,'Raw Data Input'!$AN90,IF(M$9=2,'Raw Data Input'!$AT90,IF(M$9=3,'Raw Data Input'!$AZ90,IF(M$9=4,'Raw Data Input'!$BF90,IF(M$9=0,0)))))</f>
        <v>1.6635376503799999E-2</v>
      </c>
      <c r="N171" s="323">
        <f>IF(N$9=1,'Raw Data Input'!$AN90,IF(N$9=2,'Raw Data Input'!$AT90,IF(N$9=3,'Raw Data Input'!$AZ90,IF(N$9=4,'Raw Data Input'!$BF90,IF(N$9=0,0)))))</f>
        <v>1.6635376503799999E-2</v>
      </c>
      <c r="O171" s="323">
        <f>IF(O$9=1,'Raw Data Input'!$AN90,IF(O$9=2,'Raw Data Input'!$AT90,IF(O$9=3,'Raw Data Input'!$AZ90,IF(O$9=4,'Raw Data Input'!$BF90,IF(O$9=0,0)))))</f>
        <v>1.6635376503799999E-2</v>
      </c>
      <c r="P171" s="323">
        <f>IF(P$9=1,'Raw Data Input'!$AN90,IF(P$9=2,'Raw Data Input'!$AT90,IF(P$9=3,'Raw Data Input'!$AZ90,IF(P$9=4,'Raw Data Input'!$BF90,IF(P$9=0,0)))))</f>
        <v>1.6635376503799999E-2</v>
      </c>
      <c r="Q171" s="323">
        <f>IF(Q$9=1,'Raw Data Input'!$AN90,IF(Q$9=2,'Raw Data Input'!$AT90,IF(Q$9=3,'Raw Data Input'!$AZ90,IF(Q$9=4,'Raw Data Input'!$BF90,IF(Q$9=0,0)))))</f>
        <v>1.6635376503799999E-2</v>
      </c>
      <c r="R171" s="323">
        <f>IF(R$9=1,'Raw Data Input'!$AN90,IF(R$9=2,'Raw Data Input'!$AT90,IF(R$9=3,'Raw Data Input'!$AZ90,IF(R$9=4,'Raw Data Input'!$BF90,IF(R$9=0,0)))))</f>
        <v>1.6635E-2</v>
      </c>
      <c r="S171" s="323">
        <f>IF(S$9=1,'Raw Data Input'!$AN90,IF(S$9=2,'Raw Data Input'!$AT90,IF(S$9=3,'Raw Data Input'!$AZ90,IF(S$9=4,'Raw Data Input'!$BF90,IF(S$9=0,0)))))</f>
        <v>1.6635E-2</v>
      </c>
      <c r="T171" s="323">
        <f>IF(T$9=1,'Raw Data Input'!$AN90,IF(T$9=2,'Raw Data Input'!$AT90,IF(T$9=3,'Raw Data Input'!$AZ90,IF(T$9=4,'Raw Data Input'!$BF90,IF(T$9=0,0)))))</f>
        <v>1.6635E-2</v>
      </c>
      <c r="U171" s="323">
        <f>IF(U$9=1,'Raw Data Input'!$AN90,IF(U$9=2,'Raw Data Input'!$AT90,IF(U$9=3,'Raw Data Input'!$AZ90,IF(U$9=4,'Raw Data Input'!$BF90,IF(U$9=0,0)))))</f>
        <v>1.6635E-2</v>
      </c>
      <c r="V171" s="323">
        <f>IF(V$9=1,'Raw Data Input'!$AN90,IF(V$9=2,'Raw Data Input'!$AT90,IF(V$9=3,'Raw Data Input'!$AZ90,IF(V$9=4,'Raw Data Input'!$BF90,IF(V$9=0,0)))))</f>
        <v>1.6635E-2</v>
      </c>
      <c r="W171" s="323">
        <f>IF(W$9=1,'Raw Data Input'!$AN90,IF(W$9=2,'Raw Data Input'!$AT90,IF(W$9=3,'Raw Data Input'!$AZ90,IF(W$9=4,'Raw Data Input'!$BF90,IF(W$9=0,0)))))</f>
        <v>1.6635E-2</v>
      </c>
      <c r="X171" s="323">
        <f>IF(X$9=1,'Raw Data Input'!$AN90,IF(X$9=2,'Raw Data Input'!$AT90,IF(X$9=3,'Raw Data Input'!$AZ90,IF(X$9=4,'Raw Data Input'!$BF90,IF(X$9=0,0)))))</f>
        <v>1.6635E-2</v>
      </c>
      <c r="Y171" s="323">
        <f>IF(Y$9=1,'Raw Data Input'!$AN90,IF(Y$9=2,'Raw Data Input'!$AT90,IF(Y$9=3,'Raw Data Input'!$AZ90,IF(Y$9=4,'Raw Data Input'!$BF90,IF(Y$9=0,0)))))</f>
        <v>1.6635E-2</v>
      </c>
      <c r="Z171" s="323">
        <f>IF(Z$9=1,'Raw Data Input'!$AN90,IF(Z$9=2,'Raw Data Input'!$AT90,IF(Z$9=3,'Raw Data Input'!$AZ90,IF(Z$9=4,'Raw Data Input'!$BF90,IF(Z$9=0,0)))))</f>
        <v>1.6635E-2</v>
      </c>
      <c r="AA171" s="323">
        <f>IF(AA$9=1,'Raw Data Input'!$AN90,IF(AA$9=2,'Raw Data Input'!$AT90,IF(AA$9=3,'Raw Data Input'!$AZ90,IF(AA$9=4,'Raw Data Input'!$BF90,IF(AA$9=0,0)))))</f>
        <v>7.0000000000000007E-2</v>
      </c>
      <c r="AB171" s="323">
        <f>IF(AB$9=1,'Raw Data Input'!$AN90,IF(AB$9=2,'Raw Data Input'!$AT90,IF(AB$9=3,'Raw Data Input'!$AZ90,IF(AB$9=4,'Raw Data Input'!$BF90,IF(AB$9=0,0)))))</f>
        <v>7.0000000000000007E-2</v>
      </c>
      <c r="AC171" s="323">
        <f>IF(AC$9=1,'Raw Data Input'!$AN90,IF(AC$9=2,'Raw Data Input'!$AT90,IF(AC$9=3,'Raw Data Input'!$AZ90,IF(AC$9=4,'Raw Data Input'!$BF90,IF(AC$9=0,0)))))</f>
        <v>7.0000000000000007E-2</v>
      </c>
      <c r="AD171" s="323">
        <f>IF(AD$9=1,'Raw Data Input'!$AN90,IF(AD$9=2,'Raw Data Input'!$AT90,IF(AD$9=3,'Raw Data Input'!$AZ90,IF(AD$9=4,'Raw Data Input'!$BF90,IF(AD$9=0,0)))))</f>
        <v>7.0000000000000007E-2</v>
      </c>
      <c r="AE171" s="323">
        <f>IF(AE$9=1,'Raw Data Input'!$AN90,IF(AE$9=2,'Raw Data Input'!$AT90,IF(AE$9=3,'Raw Data Input'!$AZ90,IF(AE$9=4,'Raw Data Input'!$BF90,IF(AE$9=0,0)))))</f>
        <v>7.0000000000000007E-2</v>
      </c>
      <c r="AF171" s="323">
        <f>IF(AF$9=1,'Raw Data Input'!$AN90,IF(AF$9=2,'Raw Data Input'!$AT90,IF(AF$9=3,'Raw Data Input'!$AZ90,IF(AF$9=4,'Raw Data Input'!$BF90,IF(AF$9=0,0)))))</f>
        <v>7.0000000000000007E-2</v>
      </c>
      <c r="AG171" s="323"/>
    </row>
    <row r="172" spans="1:33" s="25" customFormat="1" x14ac:dyDescent="0.2">
      <c r="A172" s="198" t="s">
        <v>208</v>
      </c>
      <c r="B172" s="62"/>
      <c r="C172" s="51">
        <f>C150*C7</f>
        <v>1.0148192547653175E-13</v>
      </c>
      <c r="D172" s="51">
        <f t="shared" ref="D172:AF172" si="91">D150*D7</f>
        <v>8.8673527115416085E-14</v>
      </c>
      <c r="E172" s="51">
        <f t="shared" si="91"/>
        <v>8.276195864105501E-14</v>
      </c>
      <c r="F172" s="51">
        <f t="shared" si="91"/>
        <v>9.4585095589777149E-14</v>
      </c>
      <c r="G172" s="51">
        <f t="shared" si="91"/>
        <v>1.2611346078636956E-13</v>
      </c>
      <c r="H172" s="51">
        <f t="shared" si="91"/>
        <v>1.0049666406413824E-13</v>
      </c>
      <c r="I172" s="51">
        <f t="shared" si="91"/>
        <v>7.5865128754300432E-14</v>
      </c>
      <c r="J172" s="51">
        <f t="shared" si="91"/>
        <v>8.4732481465842039E-14</v>
      </c>
      <c r="K172" s="51">
        <f t="shared" si="91"/>
        <v>1.3169328057600001E-13</v>
      </c>
      <c r="L172" s="51">
        <f t="shared" si="91"/>
        <v>9.5776931327999996E-14</v>
      </c>
      <c r="M172" s="51">
        <f t="shared" si="91"/>
        <v>7.9814109440000008E-14</v>
      </c>
      <c r="N172" s="51">
        <f t="shared" si="91"/>
        <v>1.1672813505600002E-13</v>
      </c>
      <c r="O172" s="51">
        <f t="shared" si="91"/>
        <v>5.2876847504000005E-14</v>
      </c>
      <c r="P172" s="51">
        <f t="shared" si="91"/>
        <v>7.8816433072000007E-14</v>
      </c>
      <c r="Q172" s="51">
        <f t="shared" si="91"/>
        <v>9.4779254960000009E-14</v>
      </c>
      <c r="R172" s="51">
        <f t="shared" si="91"/>
        <v>5.2876847504000005E-14</v>
      </c>
      <c r="S172" s="51">
        <f t="shared" si="91"/>
        <v>5.4872200239999999E-14</v>
      </c>
      <c r="T172" s="51">
        <f t="shared" si="91"/>
        <v>7.8816433072000007E-14</v>
      </c>
      <c r="U172" s="51">
        <f t="shared" si="91"/>
        <v>7.1832698496000007E-14</v>
      </c>
      <c r="V172" s="51">
        <f t="shared" si="91"/>
        <v>7.0835022128000007E-14</v>
      </c>
      <c r="W172" s="51">
        <f t="shared" si="91"/>
        <v>1.03758342272E-13</v>
      </c>
      <c r="X172" s="51">
        <f t="shared" si="91"/>
        <v>4.9883818400000005E-14</v>
      </c>
      <c r="Y172" s="51">
        <f t="shared" si="91"/>
        <v>4.0904731088000004E-14</v>
      </c>
      <c r="Z172" s="51">
        <f t="shared" si="91"/>
        <v>8.3804814911999995E-14</v>
      </c>
      <c r="AA172" s="51">
        <f t="shared" si="91"/>
        <v>1.2808398361115656E-13</v>
      </c>
      <c r="AB172" s="51">
        <f t="shared" si="91"/>
        <v>1.3498081349791115E-13</v>
      </c>
      <c r="AC172" s="51">
        <f t="shared" si="91"/>
        <v>1.3498081349791115E-13</v>
      </c>
      <c r="AD172" s="51">
        <f t="shared" si="91"/>
        <v>1.3301029067312412E-13</v>
      </c>
      <c r="AE172" s="51">
        <f t="shared" si="91"/>
        <v>8.8673527115416085E-14</v>
      </c>
      <c r="AF172" s="51">
        <f t="shared" si="91"/>
        <v>1.5370078033338787E-13</v>
      </c>
      <c r="AG172" s="51"/>
    </row>
    <row r="173" spans="1:33" s="25" customFormat="1" x14ac:dyDescent="0.2">
      <c r="A173" s="198" t="s">
        <v>508</v>
      </c>
      <c r="B173" s="62"/>
      <c r="C173" s="51">
        <f>C151*C7</f>
        <v>7.9084667275429643E-12</v>
      </c>
      <c r="D173" s="51">
        <f t="shared" ref="D173:AF173" si="92">D151*D7</f>
        <v>6.9103107328045309E-12</v>
      </c>
      <c r="E173" s="51">
        <f t="shared" si="92"/>
        <v>6.4496233506175623E-12</v>
      </c>
      <c r="F173" s="51">
        <f t="shared" si="92"/>
        <v>7.3709981149915004E-12</v>
      </c>
      <c r="G173" s="51">
        <f t="shared" si="92"/>
        <v>9.827997486655335E-12</v>
      </c>
      <c r="H173" s="51">
        <f t="shared" si="92"/>
        <v>7.8316854971784699E-12</v>
      </c>
      <c r="I173" s="51">
        <f t="shared" si="92"/>
        <v>5.9121547380660992E-12</v>
      </c>
      <c r="J173" s="51">
        <f t="shared" si="92"/>
        <v>6.6031858113465526E-12</v>
      </c>
      <c r="K173" s="51">
        <f t="shared" si="92"/>
        <v>1.3200000003755525E-11</v>
      </c>
      <c r="L173" s="51">
        <f t="shared" si="92"/>
        <v>9.6000000027312901E-12</v>
      </c>
      <c r="M173" s="51">
        <f t="shared" si="92"/>
        <v>8.0000000022760762E-12</v>
      </c>
      <c r="N173" s="51">
        <f t="shared" si="92"/>
        <v>1.1700000003328761E-11</v>
      </c>
      <c r="O173" s="51">
        <f t="shared" si="92"/>
        <v>5.3000000015078998E-12</v>
      </c>
      <c r="P173" s="51">
        <f t="shared" si="92"/>
        <v>7.9000000022476257E-12</v>
      </c>
      <c r="Q173" s="51">
        <f t="shared" si="92"/>
        <v>9.5000000027028396E-12</v>
      </c>
      <c r="R173" s="51">
        <f t="shared" si="92"/>
        <v>5.3000000000000004E-12</v>
      </c>
      <c r="S173" s="51">
        <f t="shared" si="92"/>
        <v>5.5000000000000004E-12</v>
      </c>
      <c r="T173" s="51">
        <f t="shared" si="92"/>
        <v>7.9000000000000015E-12</v>
      </c>
      <c r="U173" s="51">
        <f t="shared" si="92"/>
        <v>7.2E-12</v>
      </c>
      <c r="V173" s="51">
        <f t="shared" si="92"/>
        <v>7.1000000000000008E-12</v>
      </c>
      <c r="W173" s="51">
        <f t="shared" si="92"/>
        <v>1.0400000000000001E-11</v>
      </c>
      <c r="X173" s="51">
        <f t="shared" si="92"/>
        <v>5.0000000000000005E-12</v>
      </c>
      <c r="Y173" s="51">
        <f t="shared" si="92"/>
        <v>4.1000000000000007E-12</v>
      </c>
      <c r="Z173" s="51">
        <f t="shared" si="92"/>
        <v>8.3999999999999998E-12</v>
      </c>
      <c r="AA173" s="51">
        <f t="shared" si="92"/>
        <v>9.9815599473843237E-12</v>
      </c>
      <c r="AB173" s="51">
        <f t="shared" si="92"/>
        <v>1.0519028559935788E-11</v>
      </c>
      <c r="AC173" s="51">
        <f t="shared" si="92"/>
        <v>1.0519028559935788E-11</v>
      </c>
      <c r="AD173" s="51">
        <f t="shared" si="92"/>
        <v>1.0365466099206797E-11</v>
      </c>
      <c r="AE173" s="51">
        <f t="shared" si="92"/>
        <v>6.9103107328045309E-12</v>
      </c>
      <c r="AF173" s="51">
        <f t="shared" si="92"/>
        <v>1.1977871936861187E-11</v>
      </c>
      <c r="AG173" s="51"/>
    </row>
    <row r="174" spans="1:33" x14ac:dyDescent="0.2">
      <c r="A174" s="212"/>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row>
    <row r="175" spans="1:33" ht="18" x14ac:dyDescent="0.2">
      <c r="A175" s="1" t="s">
        <v>349</v>
      </c>
    </row>
    <row r="176" spans="1:33" s="262" customFormat="1" x14ac:dyDescent="0.2">
      <c r="A176" s="198" t="s">
        <v>287</v>
      </c>
      <c r="B176" s="63"/>
      <c r="C176" s="263">
        <f>'Raw Data Input'!$AM71</f>
        <v>8.5000000000000006E-2</v>
      </c>
      <c r="D176" s="263">
        <f>'Raw Data Input'!$AM71</f>
        <v>8.5000000000000006E-2</v>
      </c>
      <c r="E176" s="263">
        <f>'Raw Data Input'!$AM71</f>
        <v>8.5000000000000006E-2</v>
      </c>
      <c r="F176" s="263">
        <f>'Raw Data Input'!$AM71</f>
        <v>8.5000000000000006E-2</v>
      </c>
      <c r="G176" s="263">
        <f>'Raw Data Input'!$AM71</f>
        <v>8.5000000000000006E-2</v>
      </c>
      <c r="H176" s="263">
        <f>'Raw Data Input'!$AM71</f>
        <v>8.5000000000000006E-2</v>
      </c>
      <c r="I176" s="263">
        <f>'Raw Data Input'!$AM71</f>
        <v>8.5000000000000006E-2</v>
      </c>
      <c r="J176" s="263">
        <f>'Raw Data Input'!$AM71</f>
        <v>8.5000000000000006E-2</v>
      </c>
      <c r="K176" s="263">
        <f>'Raw Data Input'!$AM71</f>
        <v>8.5000000000000006E-2</v>
      </c>
      <c r="L176" s="263">
        <f>'Raw Data Input'!$AM71</f>
        <v>8.5000000000000006E-2</v>
      </c>
      <c r="M176" s="263">
        <f>'Raw Data Input'!$AM71</f>
        <v>8.5000000000000006E-2</v>
      </c>
      <c r="N176" s="263">
        <f>'Raw Data Input'!$AM71</f>
        <v>8.5000000000000006E-2</v>
      </c>
      <c r="O176" s="263">
        <f>'Raw Data Input'!$AM71</f>
        <v>8.5000000000000006E-2</v>
      </c>
      <c r="P176" s="263">
        <f>'Raw Data Input'!$AM71</f>
        <v>8.5000000000000006E-2</v>
      </c>
      <c r="Q176" s="263">
        <f>'Raw Data Input'!$AM71</f>
        <v>8.5000000000000006E-2</v>
      </c>
      <c r="R176" s="263">
        <f>'Raw Data Input'!$AM71</f>
        <v>8.5000000000000006E-2</v>
      </c>
      <c r="S176" s="263">
        <f>'Raw Data Input'!$AM71</f>
        <v>8.5000000000000006E-2</v>
      </c>
      <c r="T176" s="263">
        <f>'Raw Data Input'!$AM71</f>
        <v>8.5000000000000006E-2</v>
      </c>
      <c r="U176" s="263">
        <f>'Raw Data Input'!$AM71</f>
        <v>8.5000000000000006E-2</v>
      </c>
      <c r="V176" s="263">
        <f>'Raw Data Input'!$AM71</f>
        <v>8.5000000000000006E-2</v>
      </c>
      <c r="W176" s="263">
        <f>'Raw Data Input'!$AM71</f>
        <v>8.5000000000000006E-2</v>
      </c>
      <c r="X176" s="263">
        <f>'Raw Data Input'!$AM71</f>
        <v>8.5000000000000006E-2</v>
      </c>
      <c r="Y176" s="263">
        <f>'Raw Data Input'!$AM71</f>
        <v>8.5000000000000006E-2</v>
      </c>
      <c r="Z176" s="263">
        <f>'Raw Data Input'!$AM71</f>
        <v>8.5000000000000006E-2</v>
      </c>
      <c r="AA176" s="263">
        <f>'Raw Data Input'!$AM71</f>
        <v>8.5000000000000006E-2</v>
      </c>
      <c r="AB176" s="263">
        <f>'Raw Data Input'!$AM71</f>
        <v>8.5000000000000006E-2</v>
      </c>
      <c r="AC176" s="263">
        <f>'Raw Data Input'!$AM71</f>
        <v>8.5000000000000006E-2</v>
      </c>
      <c r="AD176" s="263">
        <f>'Raw Data Input'!$AM71</f>
        <v>8.5000000000000006E-2</v>
      </c>
      <c r="AE176" s="263">
        <f>'Raw Data Input'!$AM71</f>
        <v>8.5000000000000006E-2</v>
      </c>
      <c r="AF176" s="263">
        <f>'Raw Data Input'!$AM71</f>
        <v>8.5000000000000006E-2</v>
      </c>
      <c r="AG176" s="263"/>
    </row>
    <row r="177" spans="1:33" s="239" customFormat="1" x14ac:dyDescent="0.2">
      <c r="A177" s="198" t="s">
        <v>301</v>
      </c>
      <c r="B177" s="63"/>
      <c r="C177" s="238">
        <f>11.152+9.735*(EXP(C$242*3700000000)-EXP(C$242*C$176*1000000000))</f>
        <v>18.570213799829535</v>
      </c>
      <c r="D177" s="238">
        <f t="shared" ref="D177:AF177" si="93">11.152+9.735*(EXP(D$242*3700000000)-EXP(D$242*D$176*1000000000))</f>
        <v>18.570213799829535</v>
      </c>
      <c r="E177" s="238">
        <f t="shared" si="93"/>
        <v>18.570213799829535</v>
      </c>
      <c r="F177" s="238">
        <f t="shared" si="93"/>
        <v>18.570213799829535</v>
      </c>
      <c r="G177" s="238">
        <f t="shared" si="93"/>
        <v>18.570213799829535</v>
      </c>
      <c r="H177" s="238">
        <f t="shared" si="93"/>
        <v>18.570213799829535</v>
      </c>
      <c r="I177" s="238">
        <f t="shared" si="93"/>
        <v>18.570213799829535</v>
      </c>
      <c r="J177" s="238">
        <f t="shared" si="93"/>
        <v>18.570213799829535</v>
      </c>
      <c r="K177" s="238">
        <f t="shared" si="93"/>
        <v>18.570213799829535</v>
      </c>
      <c r="L177" s="238">
        <f t="shared" si="93"/>
        <v>18.570213799829535</v>
      </c>
      <c r="M177" s="238">
        <f t="shared" si="93"/>
        <v>18.570213799829535</v>
      </c>
      <c r="N177" s="238">
        <f t="shared" si="93"/>
        <v>18.570213799829535</v>
      </c>
      <c r="O177" s="238">
        <f t="shared" si="93"/>
        <v>18.570213799829535</v>
      </c>
      <c r="P177" s="238">
        <f t="shared" si="93"/>
        <v>18.570213799829535</v>
      </c>
      <c r="Q177" s="238">
        <f t="shared" si="93"/>
        <v>18.570213799829535</v>
      </c>
      <c r="R177" s="238">
        <f t="shared" si="93"/>
        <v>18.570213799829535</v>
      </c>
      <c r="S177" s="238">
        <f t="shared" si="93"/>
        <v>18.570213799829535</v>
      </c>
      <c r="T177" s="238">
        <f t="shared" si="93"/>
        <v>18.570213799829535</v>
      </c>
      <c r="U177" s="238">
        <f t="shared" si="93"/>
        <v>18.570213799829535</v>
      </c>
      <c r="V177" s="238">
        <f t="shared" si="93"/>
        <v>18.570213799829535</v>
      </c>
      <c r="W177" s="238">
        <f t="shared" si="93"/>
        <v>18.570213799829535</v>
      </c>
      <c r="X177" s="238">
        <f t="shared" si="93"/>
        <v>18.570213799829535</v>
      </c>
      <c r="Y177" s="238">
        <f t="shared" si="93"/>
        <v>18.570213799829535</v>
      </c>
      <c r="Z177" s="238">
        <f t="shared" si="93"/>
        <v>18.570213799829535</v>
      </c>
      <c r="AA177" s="238">
        <f t="shared" si="93"/>
        <v>18.570213799829535</v>
      </c>
      <c r="AB177" s="238">
        <f t="shared" si="93"/>
        <v>18.570213799829535</v>
      </c>
      <c r="AC177" s="238">
        <f t="shared" si="93"/>
        <v>18.570213799829535</v>
      </c>
      <c r="AD177" s="238">
        <f t="shared" si="93"/>
        <v>18.570213799829535</v>
      </c>
      <c r="AE177" s="238">
        <f t="shared" si="93"/>
        <v>18.570213799829535</v>
      </c>
      <c r="AF177" s="238">
        <f t="shared" si="93"/>
        <v>18.570213799829535</v>
      </c>
      <c r="AG177" s="238"/>
    </row>
    <row r="178" spans="1:33" s="239" customFormat="1" x14ac:dyDescent="0.2">
      <c r="A178" s="44" t="s">
        <v>385</v>
      </c>
      <c r="B178" s="63"/>
      <c r="C178" s="238">
        <v>0.13557</v>
      </c>
      <c r="D178" s="238">
        <v>0.13557</v>
      </c>
      <c r="E178" s="238">
        <v>0.13557</v>
      </c>
      <c r="F178" s="238">
        <v>0.13557</v>
      </c>
      <c r="G178" s="238">
        <v>0.13557</v>
      </c>
      <c r="H178" s="238">
        <v>0.13557</v>
      </c>
      <c r="I178" s="238">
        <v>0.13557</v>
      </c>
      <c r="J178" s="238">
        <v>0.13557</v>
      </c>
      <c r="K178" s="238">
        <v>0.13557</v>
      </c>
      <c r="L178" s="238">
        <v>0.13557</v>
      </c>
      <c r="M178" s="238">
        <v>0.13557</v>
      </c>
      <c r="N178" s="238">
        <v>0.13557</v>
      </c>
      <c r="O178" s="238">
        <v>0.13557</v>
      </c>
      <c r="P178" s="238">
        <v>0.13557</v>
      </c>
      <c r="Q178" s="238">
        <v>0.13557</v>
      </c>
      <c r="R178" s="238">
        <v>0.13557</v>
      </c>
      <c r="S178" s="238">
        <v>0.13557</v>
      </c>
      <c r="T178" s="238">
        <v>0.13557</v>
      </c>
      <c r="U178" s="238">
        <v>0.13557</v>
      </c>
      <c r="V178" s="238">
        <v>0.13557</v>
      </c>
      <c r="W178" s="238">
        <v>0.13557</v>
      </c>
      <c r="X178" s="238">
        <v>0.13557</v>
      </c>
      <c r="Y178" s="238">
        <v>0.13557</v>
      </c>
      <c r="Z178" s="238">
        <v>0.13557</v>
      </c>
      <c r="AA178" s="238">
        <v>0.13557</v>
      </c>
      <c r="AB178" s="238">
        <v>0.13557</v>
      </c>
      <c r="AC178" s="238">
        <v>0.13557</v>
      </c>
      <c r="AD178" s="238">
        <v>0.13557</v>
      </c>
      <c r="AE178" s="238">
        <v>0.13557</v>
      </c>
      <c r="AF178" s="238">
        <v>0.13557</v>
      </c>
      <c r="AG178" s="238"/>
    </row>
    <row r="179" spans="1:33" s="239" customFormat="1" x14ac:dyDescent="0.2">
      <c r="A179" s="198" t="s">
        <v>302</v>
      </c>
      <c r="B179" s="63"/>
      <c r="C179" s="238">
        <f>12.998+0.0706411*(EXP(C$241*3700000000)-EXP(C$241*C$176*1000000000))</f>
        <v>15.622676417598086</v>
      </c>
      <c r="D179" s="238">
        <f t="shared" ref="D179:AF179" si="94">12.998+0.0706411*(EXP(D$241*3700000000)-EXP(D$241*D$176*1000000000))</f>
        <v>15.622676417598086</v>
      </c>
      <c r="E179" s="238">
        <f t="shared" si="94"/>
        <v>15.622676417598086</v>
      </c>
      <c r="F179" s="238">
        <f t="shared" si="94"/>
        <v>15.622676417598086</v>
      </c>
      <c r="G179" s="238">
        <f t="shared" si="94"/>
        <v>15.622676417598086</v>
      </c>
      <c r="H179" s="238">
        <f t="shared" si="94"/>
        <v>15.622676417598086</v>
      </c>
      <c r="I179" s="238">
        <f t="shared" si="94"/>
        <v>15.622676417598086</v>
      </c>
      <c r="J179" s="238">
        <f t="shared" si="94"/>
        <v>15.622676417598086</v>
      </c>
      <c r="K179" s="238">
        <f t="shared" si="94"/>
        <v>15.622676417598086</v>
      </c>
      <c r="L179" s="238">
        <f t="shared" si="94"/>
        <v>15.622676417598086</v>
      </c>
      <c r="M179" s="238">
        <f t="shared" si="94"/>
        <v>15.622676417598086</v>
      </c>
      <c r="N179" s="238">
        <f t="shared" si="94"/>
        <v>15.622676417598086</v>
      </c>
      <c r="O179" s="238">
        <f t="shared" si="94"/>
        <v>15.622676417598086</v>
      </c>
      <c r="P179" s="238">
        <f t="shared" si="94"/>
        <v>15.622676417598086</v>
      </c>
      <c r="Q179" s="238">
        <f t="shared" si="94"/>
        <v>15.622676417598086</v>
      </c>
      <c r="R179" s="238">
        <f t="shared" si="94"/>
        <v>15.622676417598086</v>
      </c>
      <c r="S179" s="238">
        <f t="shared" si="94"/>
        <v>15.622676417598086</v>
      </c>
      <c r="T179" s="238">
        <f t="shared" si="94"/>
        <v>15.622676417598086</v>
      </c>
      <c r="U179" s="238">
        <f t="shared" si="94"/>
        <v>15.622676417598086</v>
      </c>
      <c r="V179" s="238">
        <f t="shared" si="94"/>
        <v>15.622676417598086</v>
      </c>
      <c r="W179" s="238">
        <f t="shared" si="94"/>
        <v>15.622676417598086</v>
      </c>
      <c r="X179" s="238">
        <f t="shared" si="94"/>
        <v>15.622676417598086</v>
      </c>
      <c r="Y179" s="238">
        <f t="shared" si="94"/>
        <v>15.622676417598086</v>
      </c>
      <c r="Z179" s="238">
        <f t="shared" si="94"/>
        <v>15.622676417598086</v>
      </c>
      <c r="AA179" s="238">
        <f t="shared" si="94"/>
        <v>15.622676417598086</v>
      </c>
      <c r="AB179" s="238">
        <f t="shared" si="94"/>
        <v>15.622676417598086</v>
      </c>
      <c r="AC179" s="238">
        <f t="shared" si="94"/>
        <v>15.622676417598086</v>
      </c>
      <c r="AD179" s="238">
        <f t="shared" si="94"/>
        <v>15.622676417598086</v>
      </c>
      <c r="AE179" s="238">
        <f t="shared" si="94"/>
        <v>15.622676417598086</v>
      </c>
      <c r="AF179" s="238">
        <f t="shared" si="94"/>
        <v>15.622676417598086</v>
      </c>
      <c r="AG179" s="238"/>
    </row>
    <row r="180" spans="1:33" s="239" customFormat="1" x14ac:dyDescent="0.2">
      <c r="A180" s="44" t="s">
        <v>385</v>
      </c>
      <c r="B180" s="63"/>
      <c r="C180" s="238">
        <v>0.16056500000000001</v>
      </c>
      <c r="D180" s="238">
        <v>0.16056500000000001</v>
      </c>
      <c r="E180" s="238">
        <v>0.16056500000000001</v>
      </c>
      <c r="F180" s="238">
        <v>0.16056500000000001</v>
      </c>
      <c r="G180" s="238">
        <v>0.16056500000000001</v>
      </c>
      <c r="H180" s="238">
        <v>0.16056500000000001</v>
      </c>
      <c r="I180" s="238">
        <v>0.16056500000000001</v>
      </c>
      <c r="J180" s="238">
        <v>0.16056500000000001</v>
      </c>
      <c r="K180" s="238">
        <v>0.16056500000000001</v>
      </c>
      <c r="L180" s="238">
        <v>0.16056500000000001</v>
      </c>
      <c r="M180" s="238">
        <v>0.16056500000000001</v>
      </c>
      <c r="N180" s="238">
        <v>0.16056500000000001</v>
      </c>
      <c r="O180" s="238">
        <v>0.16056500000000001</v>
      </c>
      <c r="P180" s="238">
        <v>0.16056500000000001</v>
      </c>
      <c r="Q180" s="238">
        <v>0.16056500000000001</v>
      </c>
      <c r="R180" s="238">
        <v>0.16056500000000001</v>
      </c>
      <c r="S180" s="238">
        <v>0.16056500000000001</v>
      </c>
      <c r="T180" s="238">
        <v>0.16056500000000001</v>
      </c>
      <c r="U180" s="238">
        <v>0.16056500000000001</v>
      </c>
      <c r="V180" s="238">
        <v>0.16056500000000001</v>
      </c>
      <c r="W180" s="238">
        <v>0.16056500000000001</v>
      </c>
      <c r="X180" s="238">
        <v>0.16056500000000001</v>
      </c>
      <c r="Y180" s="238">
        <v>0.16056500000000001</v>
      </c>
      <c r="Z180" s="238">
        <v>0.16056500000000001</v>
      </c>
      <c r="AA180" s="238">
        <v>0.16056500000000001</v>
      </c>
      <c r="AB180" s="238">
        <v>0.16056500000000001</v>
      </c>
      <c r="AC180" s="238">
        <v>0.16056500000000001</v>
      </c>
      <c r="AD180" s="238">
        <v>0.16056500000000001</v>
      </c>
      <c r="AE180" s="238">
        <v>0.16056500000000001</v>
      </c>
      <c r="AF180" s="238">
        <v>0.16056500000000001</v>
      </c>
      <c r="AG180" s="238"/>
    </row>
    <row r="181" spans="1:33" s="239" customFormat="1" x14ac:dyDescent="0.2">
      <c r="A181" s="198" t="s">
        <v>303</v>
      </c>
      <c r="B181" s="63"/>
      <c r="C181" s="238">
        <f>31.23+36.837*(EXP(C$243*3700000000)-EXP(C$243*C$176*1000000000))</f>
        <v>38.474736417667913</v>
      </c>
      <c r="D181" s="238">
        <f t="shared" ref="D181:AF181" si="95">31.23+36.837*(EXP(D$243*3700000000)-EXP(D$243*D$176*1000000000))</f>
        <v>38.474736417667913</v>
      </c>
      <c r="E181" s="238">
        <f t="shared" si="95"/>
        <v>38.474736417667913</v>
      </c>
      <c r="F181" s="238">
        <f t="shared" si="95"/>
        <v>38.474736417667913</v>
      </c>
      <c r="G181" s="238">
        <f t="shared" si="95"/>
        <v>38.474736417667913</v>
      </c>
      <c r="H181" s="238">
        <f t="shared" si="95"/>
        <v>38.474736417667913</v>
      </c>
      <c r="I181" s="238">
        <f t="shared" si="95"/>
        <v>38.474736417667913</v>
      </c>
      <c r="J181" s="238">
        <f t="shared" si="95"/>
        <v>38.474736417667913</v>
      </c>
      <c r="K181" s="238">
        <f t="shared" si="95"/>
        <v>38.474736417667913</v>
      </c>
      <c r="L181" s="238">
        <f t="shared" si="95"/>
        <v>38.474736417667913</v>
      </c>
      <c r="M181" s="238">
        <f t="shared" si="95"/>
        <v>38.474736417667913</v>
      </c>
      <c r="N181" s="238">
        <f t="shared" si="95"/>
        <v>38.474736417667913</v>
      </c>
      <c r="O181" s="238">
        <f t="shared" si="95"/>
        <v>38.474736417667913</v>
      </c>
      <c r="P181" s="238">
        <f t="shared" si="95"/>
        <v>38.474736417667913</v>
      </c>
      <c r="Q181" s="238">
        <f t="shared" si="95"/>
        <v>38.474736417667913</v>
      </c>
      <c r="R181" s="238">
        <f t="shared" si="95"/>
        <v>38.474736417667913</v>
      </c>
      <c r="S181" s="238">
        <f t="shared" si="95"/>
        <v>38.474736417667913</v>
      </c>
      <c r="T181" s="238">
        <f t="shared" si="95"/>
        <v>38.474736417667913</v>
      </c>
      <c r="U181" s="238">
        <f t="shared" si="95"/>
        <v>38.474736417667913</v>
      </c>
      <c r="V181" s="238">
        <f t="shared" si="95"/>
        <v>38.474736417667913</v>
      </c>
      <c r="W181" s="238">
        <f t="shared" si="95"/>
        <v>38.474736417667913</v>
      </c>
      <c r="X181" s="238">
        <f t="shared" si="95"/>
        <v>38.474736417667913</v>
      </c>
      <c r="Y181" s="238">
        <f t="shared" si="95"/>
        <v>38.474736417667913</v>
      </c>
      <c r="Z181" s="238">
        <f t="shared" si="95"/>
        <v>38.474736417667913</v>
      </c>
      <c r="AA181" s="238">
        <f t="shared" si="95"/>
        <v>38.474736417667913</v>
      </c>
      <c r="AB181" s="238">
        <f t="shared" si="95"/>
        <v>38.474736417667913</v>
      </c>
      <c r="AC181" s="238">
        <f t="shared" si="95"/>
        <v>38.474736417667913</v>
      </c>
      <c r="AD181" s="238">
        <f t="shared" si="95"/>
        <v>38.474736417667913</v>
      </c>
      <c r="AE181" s="238">
        <f t="shared" si="95"/>
        <v>38.474736417667913</v>
      </c>
      <c r="AF181" s="238">
        <f t="shared" si="95"/>
        <v>38.474736417667913</v>
      </c>
      <c r="AG181" s="238"/>
    </row>
    <row r="182" spans="1:33" s="239" customFormat="1" x14ac:dyDescent="0.2">
      <c r="A182" s="44" t="s">
        <v>385</v>
      </c>
      <c r="B182" s="63"/>
      <c r="C182" s="238">
        <v>0.13270000000000001</v>
      </c>
      <c r="D182" s="238">
        <v>0.13270000000000001</v>
      </c>
      <c r="E182" s="238">
        <v>0.13270000000000001</v>
      </c>
      <c r="F182" s="238">
        <v>0.13270000000000001</v>
      </c>
      <c r="G182" s="238">
        <v>0.13270000000000001</v>
      </c>
      <c r="H182" s="238">
        <v>0.13270000000000001</v>
      </c>
      <c r="I182" s="238">
        <v>0.13270000000000001</v>
      </c>
      <c r="J182" s="238">
        <v>0.13270000000000001</v>
      </c>
      <c r="K182" s="238">
        <v>0.13270000000000001</v>
      </c>
      <c r="L182" s="238">
        <v>0.13270000000000001</v>
      </c>
      <c r="M182" s="238">
        <v>0.13270000000000001</v>
      </c>
      <c r="N182" s="238">
        <v>0.13270000000000001</v>
      </c>
      <c r="O182" s="238">
        <v>0.13270000000000001</v>
      </c>
      <c r="P182" s="238">
        <v>0.13270000000000001</v>
      </c>
      <c r="Q182" s="238">
        <v>0.13270000000000001</v>
      </c>
      <c r="R182" s="238">
        <v>0.13270000000000001</v>
      </c>
      <c r="S182" s="238">
        <v>0.13270000000000001</v>
      </c>
      <c r="T182" s="238">
        <v>0.13270000000000001</v>
      </c>
      <c r="U182" s="238">
        <v>0.13270000000000001</v>
      </c>
      <c r="V182" s="238">
        <v>0.13270000000000001</v>
      </c>
      <c r="W182" s="238">
        <v>0.13270000000000001</v>
      </c>
      <c r="X182" s="238">
        <v>0.13270000000000001</v>
      </c>
      <c r="Y182" s="238">
        <v>0.13270000000000001</v>
      </c>
      <c r="Z182" s="238">
        <v>0.13270000000000001</v>
      </c>
      <c r="AA182" s="238">
        <v>0.13270000000000001</v>
      </c>
      <c r="AB182" s="238">
        <v>0.13270000000000001</v>
      </c>
      <c r="AC182" s="238">
        <v>0.13270000000000001</v>
      </c>
      <c r="AD182" s="238">
        <v>0.13270000000000001</v>
      </c>
      <c r="AE182" s="238">
        <v>0.13270000000000001</v>
      </c>
      <c r="AF182" s="238">
        <v>0.13270000000000001</v>
      </c>
      <c r="AG182" s="238"/>
    </row>
    <row r="183" spans="1:33" s="25" customFormat="1" x14ac:dyDescent="0.2">
      <c r="A183" s="44"/>
      <c r="B183" s="63"/>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c r="AA183" s="53"/>
      <c r="AB183" s="53"/>
      <c r="AC183" s="53"/>
      <c r="AD183" s="53"/>
      <c r="AE183" s="53"/>
      <c r="AF183" s="53"/>
      <c r="AG183" s="53"/>
    </row>
    <row r="184" spans="1:33" ht="18" x14ac:dyDescent="0.2">
      <c r="A184" s="1" t="s">
        <v>514</v>
      </c>
    </row>
    <row r="185" spans="1:33" s="262" customFormat="1" x14ac:dyDescent="0.2">
      <c r="A185" s="198" t="s">
        <v>301</v>
      </c>
      <c r="B185" s="63"/>
      <c r="C185" s="263">
        <f>'Raw Data Input'!$AM72</f>
        <v>18.570213799829535</v>
      </c>
      <c r="D185" s="263">
        <f>'Raw Data Input'!$AM72</f>
        <v>18.570213799829535</v>
      </c>
      <c r="E185" s="263">
        <f>'Raw Data Input'!$AM72</f>
        <v>18.570213799829535</v>
      </c>
      <c r="F185" s="263">
        <f>'Raw Data Input'!$AM72</f>
        <v>18.570213799829535</v>
      </c>
      <c r="G185" s="263">
        <f>'Raw Data Input'!$AM72</f>
        <v>18.570213799829535</v>
      </c>
      <c r="H185" s="263">
        <f>'Raw Data Input'!$AM72</f>
        <v>18.570213799829535</v>
      </c>
      <c r="I185" s="263">
        <f>'Raw Data Input'!$AM72</f>
        <v>18.570213799829535</v>
      </c>
      <c r="J185" s="263">
        <f>'Raw Data Input'!$AM72</f>
        <v>18.570213799829535</v>
      </c>
      <c r="K185" s="263">
        <f>'Raw Data Input'!$AM72</f>
        <v>18.570213799829535</v>
      </c>
      <c r="L185" s="263">
        <f>'Raw Data Input'!$AM72</f>
        <v>18.570213799829535</v>
      </c>
      <c r="M185" s="263">
        <f>'Raw Data Input'!$AM72</f>
        <v>18.570213799829535</v>
      </c>
      <c r="N185" s="263">
        <f>'Raw Data Input'!$AM72</f>
        <v>18.570213799829535</v>
      </c>
      <c r="O185" s="263">
        <f>'Raw Data Input'!$AM72</f>
        <v>18.570213799829535</v>
      </c>
      <c r="P185" s="263">
        <f>'Raw Data Input'!$AM72</f>
        <v>18.570213799829535</v>
      </c>
      <c r="Q185" s="263">
        <f>'Raw Data Input'!$AM72</f>
        <v>18.570213799829535</v>
      </c>
      <c r="R185" s="263">
        <f>'Raw Data Input'!$AM72</f>
        <v>18.570213799829535</v>
      </c>
      <c r="S185" s="263">
        <f>'Raw Data Input'!$AM72</f>
        <v>18.570213799829535</v>
      </c>
      <c r="T185" s="263">
        <f>'Raw Data Input'!$AM72</f>
        <v>18.570213799829535</v>
      </c>
      <c r="U185" s="263">
        <f>'Raw Data Input'!$AM72</f>
        <v>18.570213799829535</v>
      </c>
      <c r="V185" s="263">
        <f>'Raw Data Input'!$AM72</f>
        <v>18.570213799829535</v>
      </c>
      <c r="W185" s="263">
        <f>'Raw Data Input'!$AM72</f>
        <v>18.570213799829535</v>
      </c>
      <c r="X185" s="263">
        <f>'Raw Data Input'!$AM72</f>
        <v>18.570213799829535</v>
      </c>
      <c r="Y185" s="263">
        <f>'Raw Data Input'!$AM72</f>
        <v>18.570213799829535</v>
      </c>
      <c r="Z185" s="263">
        <f>'Raw Data Input'!$AM72</f>
        <v>18.570213799829535</v>
      </c>
      <c r="AA185" s="263">
        <f>'Raw Data Input'!$AM72</f>
        <v>18.570213799829535</v>
      </c>
      <c r="AB185" s="263">
        <f>'Raw Data Input'!$AM72</f>
        <v>18.570213799829535</v>
      </c>
      <c r="AC185" s="263">
        <f>'Raw Data Input'!$AM72</f>
        <v>18.570213799829535</v>
      </c>
      <c r="AD185" s="263">
        <f>'Raw Data Input'!$AM72</f>
        <v>18.570213799829535</v>
      </c>
      <c r="AE185" s="263">
        <f>'Raw Data Input'!$AM72</f>
        <v>18.570213799829535</v>
      </c>
      <c r="AF185" s="263">
        <f>'Raw Data Input'!$AM72</f>
        <v>18.570213799829535</v>
      </c>
      <c r="AG185" s="263"/>
    </row>
    <row r="186" spans="1:33" s="262" customFormat="1" x14ac:dyDescent="0.2">
      <c r="A186" s="44" t="s">
        <v>385</v>
      </c>
      <c r="B186" s="63"/>
      <c r="C186" s="263">
        <f>'Raw Data Input'!$AN72</f>
        <v>0.6071393779268438</v>
      </c>
      <c r="D186" s="263">
        <f>'Raw Data Input'!$AN72</f>
        <v>0.6071393779268438</v>
      </c>
      <c r="E186" s="263">
        <f>'Raw Data Input'!$AN72</f>
        <v>0.6071393779268438</v>
      </c>
      <c r="F186" s="263">
        <f>'Raw Data Input'!$AN72</f>
        <v>0.6071393779268438</v>
      </c>
      <c r="G186" s="263">
        <f>'Raw Data Input'!$AN72</f>
        <v>0.6071393779268438</v>
      </c>
      <c r="H186" s="263">
        <f>'Raw Data Input'!$AN72</f>
        <v>0.6071393779268438</v>
      </c>
      <c r="I186" s="263">
        <f>'Raw Data Input'!$AN72</f>
        <v>0.6071393779268438</v>
      </c>
      <c r="J186" s="263">
        <f>'Raw Data Input'!$AN72</f>
        <v>0.6071393779268438</v>
      </c>
      <c r="K186" s="263">
        <f>'Raw Data Input'!$AN72</f>
        <v>0.6071393779268438</v>
      </c>
      <c r="L186" s="263">
        <f>'Raw Data Input'!$AN72</f>
        <v>0.6071393779268438</v>
      </c>
      <c r="M186" s="263">
        <f>'Raw Data Input'!$AN72</f>
        <v>0.6071393779268438</v>
      </c>
      <c r="N186" s="263">
        <f>'Raw Data Input'!$AN72</f>
        <v>0.6071393779268438</v>
      </c>
      <c r="O186" s="263">
        <f>'Raw Data Input'!$AN72</f>
        <v>0.6071393779268438</v>
      </c>
      <c r="P186" s="263">
        <f>'Raw Data Input'!$AN72</f>
        <v>0.6071393779268438</v>
      </c>
      <c r="Q186" s="263">
        <f>'Raw Data Input'!$AN72</f>
        <v>0.6071393779268438</v>
      </c>
      <c r="R186" s="263">
        <f>'Raw Data Input'!$AN72</f>
        <v>0.6071393779268438</v>
      </c>
      <c r="S186" s="263">
        <f>'Raw Data Input'!$AN72</f>
        <v>0.6071393779268438</v>
      </c>
      <c r="T186" s="263">
        <f>'Raw Data Input'!$AN72</f>
        <v>0.6071393779268438</v>
      </c>
      <c r="U186" s="263">
        <f>'Raw Data Input'!$AN72</f>
        <v>0.6071393779268438</v>
      </c>
      <c r="V186" s="263">
        <f>'Raw Data Input'!$AN72</f>
        <v>0.6071393779268438</v>
      </c>
      <c r="W186" s="263">
        <f>'Raw Data Input'!$AN72</f>
        <v>0.6071393779268438</v>
      </c>
      <c r="X186" s="263">
        <f>'Raw Data Input'!$AN72</f>
        <v>0.6071393779268438</v>
      </c>
      <c r="Y186" s="263">
        <f>'Raw Data Input'!$AN72</f>
        <v>0.6071393779268438</v>
      </c>
      <c r="Z186" s="263">
        <f>'Raw Data Input'!$AN72</f>
        <v>0.6071393779268438</v>
      </c>
      <c r="AA186" s="263">
        <f>'Raw Data Input'!$AN72</f>
        <v>0.6071393779268438</v>
      </c>
      <c r="AB186" s="263">
        <f>'Raw Data Input'!$AN72</f>
        <v>0.6071393779268438</v>
      </c>
      <c r="AC186" s="263">
        <f>'Raw Data Input'!$AN72</f>
        <v>0.6071393779268438</v>
      </c>
      <c r="AD186" s="263">
        <f>'Raw Data Input'!$AN72</f>
        <v>0.6071393779268438</v>
      </c>
      <c r="AE186" s="263">
        <f>'Raw Data Input'!$AN72</f>
        <v>0.6071393779268438</v>
      </c>
      <c r="AF186" s="263">
        <f>'Raw Data Input'!$AN72</f>
        <v>0.6071393779268438</v>
      </c>
      <c r="AG186" s="263"/>
    </row>
    <row r="187" spans="1:33" s="262" customFormat="1" x14ac:dyDescent="0.2">
      <c r="A187" s="198" t="s">
        <v>302</v>
      </c>
      <c r="B187" s="63"/>
      <c r="C187" s="263">
        <f>'Raw Data Input'!$AM73</f>
        <v>15.622676417598086</v>
      </c>
      <c r="D187" s="263">
        <f>'Raw Data Input'!$AM73</f>
        <v>15.622676417598086</v>
      </c>
      <c r="E187" s="263">
        <f>'Raw Data Input'!$AM73</f>
        <v>15.622676417598086</v>
      </c>
      <c r="F187" s="263">
        <f>'Raw Data Input'!$AM73</f>
        <v>15.622676417598086</v>
      </c>
      <c r="G187" s="263">
        <f>'Raw Data Input'!$AM73</f>
        <v>15.622676417598086</v>
      </c>
      <c r="H187" s="263">
        <f>'Raw Data Input'!$AM73</f>
        <v>15.622676417598086</v>
      </c>
      <c r="I187" s="263">
        <f>'Raw Data Input'!$AM73</f>
        <v>15.622676417598086</v>
      </c>
      <c r="J187" s="263">
        <f>'Raw Data Input'!$AM73</f>
        <v>15.622676417598086</v>
      </c>
      <c r="K187" s="263">
        <f>'Raw Data Input'!$AM73</f>
        <v>15.622676417598086</v>
      </c>
      <c r="L187" s="263">
        <f>'Raw Data Input'!$AM73</f>
        <v>15.622676417598086</v>
      </c>
      <c r="M187" s="263">
        <f>'Raw Data Input'!$AM73</f>
        <v>15.622676417598086</v>
      </c>
      <c r="N187" s="263">
        <f>'Raw Data Input'!$AM73</f>
        <v>15.622676417598086</v>
      </c>
      <c r="O187" s="263">
        <f>'Raw Data Input'!$AM73</f>
        <v>15.622676417598086</v>
      </c>
      <c r="P187" s="263">
        <f>'Raw Data Input'!$AM73</f>
        <v>15.622676417598086</v>
      </c>
      <c r="Q187" s="263">
        <f>'Raw Data Input'!$AM73</f>
        <v>15.622676417598086</v>
      </c>
      <c r="R187" s="263">
        <f>'Raw Data Input'!$AM73</f>
        <v>15.622676417598086</v>
      </c>
      <c r="S187" s="263">
        <f>'Raw Data Input'!$AM73</f>
        <v>15.622676417598086</v>
      </c>
      <c r="T187" s="263">
        <f>'Raw Data Input'!$AM73</f>
        <v>15.622676417598086</v>
      </c>
      <c r="U187" s="263">
        <f>'Raw Data Input'!$AM73</f>
        <v>15.622676417598086</v>
      </c>
      <c r="V187" s="263">
        <f>'Raw Data Input'!$AM73</f>
        <v>15.622676417598086</v>
      </c>
      <c r="W187" s="263">
        <f>'Raw Data Input'!$AM73</f>
        <v>15.622676417598086</v>
      </c>
      <c r="X187" s="263">
        <f>'Raw Data Input'!$AM73</f>
        <v>15.622676417598086</v>
      </c>
      <c r="Y187" s="263">
        <f>'Raw Data Input'!$AM73</f>
        <v>15.622676417598086</v>
      </c>
      <c r="Z187" s="263">
        <f>'Raw Data Input'!$AM73</f>
        <v>15.622676417598086</v>
      </c>
      <c r="AA187" s="263">
        <f>'Raw Data Input'!$AM73</f>
        <v>15.622676417598086</v>
      </c>
      <c r="AB187" s="263">
        <f>'Raw Data Input'!$AM73</f>
        <v>15.622676417598086</v>
      </c>
      <c r="AC187" s="263">
        <f>'Raw Data Input'!$AM73</f>
        <v>15.622676417598086</v>
      </c>
      <c r="AD187" s="263">
        <f>'Raw Data Input'!$AM73</f>
        <v>15.622676417598086</v>
      </c>
      <c r="AE187" s="263">
        <f>'Raw Data Input'!$AM73</f>
        <v>15.622676417598086</v>
      </c>
      <c r="AF187" s="263">
        <f>'Raw Data Input'!$AM73</f>
        <v>15.622676417598086</v>
      </c>
      <c r="AG187" s="263"/>
    </row>
    <row r="188" spans="1:33" s="262" customFormat="1" x14ac:dyDescent="0.2">
      <c r="A188" s="44" t="s">
        <v>385</v>
      </c>
      <c r="B188" s="63"/>
      <c r="C188" s="263">
        <f>'Raw Data Input'!$AN73</f>
        <v>0.51783738073210117</v>
      </c>
      <c r="D188" s="263">
        <f>'Raw Data Input'!$AN73</f>
        <v>0.51783738073210117</v>
      </c>
      <c r="E188" s="263">
        <f>'Raw Data Input'!$AN73</f>
        <v>0.51783738073210117</v>
      </c>
      <c r="F188" s="263">
        <f>'Raw Data Input'!$AN73</f>
        <v>0.51783738073210117</v>
      </c>
      <c r="G188" s="263">
        <f>'Raw Data Input'!$AN73</f>
        <v>0.51783738073210117</v>
      </c>
      <c r="H188" s="263">
        <f>'Raw Data Input'!$AN73</f>
        <v>0.51783738073210117</v>
      </c>
      <c r="I188" s="263">
        <f>'Raw Data Input'!$AN73</f>
        <v>0.51783738073210117</v>
      </c>
      <c r="J188" s="263">
        <f>'Raw Data Input'!$AN73</f>
        <v>0.51783738073210117</v>
      </c>
      <c r="K188" s="263">
        <f>'Raw Data Input'!$AN73</f>
        <v>0.51783738073210117</v>
      </c>
      <c r="L188" s="263">
        <f>'Raw Data Input'!$AN73</f>
        <v>0.51783738073210117</v>
      </c>
      <c r="M188" s="263">
        <f>'Raw Data Input'!$AN73</f>
        <v>0.51783738073210117</v>
      </c>
      <c r="N188" s="263">
        <f>'Raw Data Input'!$AN73</f>
        <v>0.51783738073210117</v>
      </c>
      <c r="O188" s="263">
        <f>'Raw Data Input'!$AN73</f>
        <v>0.51783738073210117</v>
      </c>
      <c r="P188" s="263">
        <f>'Raw Data Input'!$AN73</f>
        <v>0.51783738073210117</v>
      </c>
      <c r="Q188" s="263">
        <f>'Raw Data Input'!$AN73</f>
        <v>0.51783738073210117</v>
      </c>
      <c r="R188" s="263">
        <f>'Raw Data Input'!$AN73</f>
        <v>0.51783738073210117</v>
      </c>
      <c r="S188" s="263">
        <f>'Raw Data Input'!$AN73</f>
        <v>0.51783738073210117</v>
      </c>
      <c r="T188" s="263">
        <f>'Raw Data Input'!$AN73</f>
        <v>0.51783738073210117</v>
      </c>
      <c r="U188" s="263">
        <f>'Raw Data Input'!$AN73</f>
        <v>0.51783738073210117</v>
      </c>
      <c r="V188" s="263">
        <f>'Raw Data Input'!$AN73</f>
        <v>0.51783738073210117</v>
      </c>
      <c r="W188" s="263">
        <f>'Raw Data Input'!$AN73</f>
        <v>0.51783738073210117</v>
      </c>
      <c r="X188" s="263">
        <f>'Raw Data Input'!$AN73</f>
        <v>0.51783738073210117</v>
      </c>
      <c r="Y188" s="263">
        <f>'Raw Data Input'!$AN73</f>
        <v>0.51783738073210117</v>
      </c>
      <c r="Z188" s="263">
        <f>'Raw Data Input'!$AN73</f>
        <v>0.51783738073210117</v>
      </c>
      <c r="AA188" s="263">
        <f>'Raw Data Input'!$AN73</f>
        <v>0.51783738073210117</v>
      </c>
      <c r="AB188" s="263">
        <f>'Raw Data Input'!$AN73</f>
        <v>0.51783738073210117</v>
      </c>
      <c r="AC188" s="263">
        <f>'Raw Data Input'!$AN73</f>
        <v>0.51783738073210117</v>
      </c>
      <c r="AD188" s="263">
        <f>'Raw Data Input'!$AN73</f>
        <v>0.51783738073210117</v>
      </c>
      <c r="AE188" s="263">
        <f>'Raw Data Input'!$AN73</f>
        <v>0.51783738073210117</v>
      </c>
      <c r="AF188" s="263">
        <f>'Raw Data Input'!$AN73</f>
        <v>0.51783738073210117</v>
      </c>
      <c r="AG188" s="263"/>
    </row>
    <row r="189" spans="1:33" s="262" customFormat="1" x14ac:dyDescent="0.2">
      <c r="A189" s="198" t="s">
        <v>303</v>
      </c>
      <c r="B189" s="63"/>
      <c r="C189" s="263">
        <f>'Raw Data Input'!$AM74</f>
        <v>38.474736417667913</v>
      </c>
      <c r="D189" s="263">
        <f>'Raw Data Input'!$AM74</f>
        <v>38.474736417667913</v>
      </c>
      <c r="E189" s="263">
        <f>'Raw Data Input'!$AM74</f>
        <v>38.474736417667913</v>
      </c>
      <c r="F189" s="263">
        <f>'Raw Data Input'!$AM74</f>
        <v>38.474736417667913</v>
      </c>
      <c r="G189" s="263">
        <f>'Raw Data Input'!$AM74</f>
        <v>38.474736417667913</v>
      </c>
      <c r="H189" s="263">
        <f>'Raw Data Input'!$AM74</f>
        <v>38.474736417667913</v>
      </c>
      <c r="I189" s="263">
        <f>'Raw Data Input'!$AM74</f>
        <v>38.474736417667913</v>
      </c>
      <c r="J189" s="263">
        <f>'Raw Data Input'!$AM74</f>
        <v>38.474736417667913</v>
      </c>
      <c r="K189" s="263">
        <f>'Raw Data Input'!$AM74</f>
        <v>38.474736417667913</v>
      </c>
      <c r="L189" s="263">
        <f>'Raw Data Input'!$AM74</f>
        <v>38.474736417667913</v>
      </c>
      <c r="M189" s="263">
        <f>'Raw Data Input'!$AM74</f>
        <v>38.474736417667913</v>
      </c>
      <c r="N189" s="263">
        <f>'Raw Data Input'!$AM74</f>
        <v>38.474736417667913</v>
      </c>
      <c r="O189" s="263">
        <f>'Raw Data Input'!$AM74</f>
        <v>38.474736417667913</v>
      </c>
      <c r="P189" s="263">
        <f>'Raw Data Input'!$AM74</f>
        <v>38.474736417667913</v>
      </c>
      <c r="Q189" s="263">
        <f>'Raw Data Input'!$AM74</f>
        <v>38.474736417667913</v>
      </c>
      <c r="R189" s="263">
        <f>'Raw Data Input'!$AM74</f>
        <v>38.474736417667913</v>
      </c>
      <c r="S189" s="263">
        <f>'Raw Data Input'!$AM74</f>
        <v>38.474736417667913</v>
      </c>
      <c r="T189" s="263">
        <f>'Raw Data Input'!$AM74</f>
        <v>38.474736417667913</v>
      </c>
      <c r="U189" s="263">
        <f>'Raw Data Input'!$AM74</f>
        <v>38.474736417667913</v>
      </c>
      <c r="V189" s="263">
        <f>'Raw Data Input'!$AM74</f>
        <v>38.474736417667913</v>
      </c>
      <c r="W189" s="263">
        <f>'Raw Data Input'!$AM74</f>
        <v>38.474736417667913</v>
      </c>
      <c r="X189" s="263">
        <f>'Raw Data Input'!$AM74</f>
        <v>38.474736417667913</v>
      </c>
      <c r="Y189" s="263">
        <f>'Raw Data Input'!$AM74</f>
        <v>38.474736417667913</v>
      </c>
      <c r="Z189" s="263">
        <f>'Raw Data Input'!$AM74</f>
        <v>38.474736417667913</v>
      </c>
      <c r="AA189" s="263">
        <f>'Raw Data Input'!$AM74</f>
        <v>38.474736417667913</v>
      </c>
      <c r="AB189" s="263">
        <f>'Raw Data Input'!$AM74</f>
        <v>38.474736417667913</v>
      </c>
      <c r="AC189" s="263">
        <f>'Raw Data Input'!$AM74</f>
        <v>38.474736417667913</v>
      </c>
      <c r="AD189" s="263">
        <f>'Raw Data Input'!$AM74</f>
        <v>38.474736417667913</v>
      </c>
      <c r="AE189" s="263">
        <f>'Raw Data Input'!$AM74</f>
        <v>38.474736417667913</v>
      </c>
      <c r="AF189" s="263">
        <f>'Raw Data Input'!$AM74</f>
        <v>38.474736417667913</v>
      </c>
      <c r="AG189" s="263"/>
    </row>
    <row r="190" spans="1:33" s="262" customFormat="1" x14ac:dyDescent="0.2">
      <c r="A190" s="44" t="s">
        <v>385</v>
      </c>
      <c r="B190" s="63"/>
      <c r="C190" s="263">
        <f>'Raw Data Input'!$AN74</f>
        <v>0.62966123209870861</v>
      </c>
      <c r="D190" s="263">
        <f>'Raw Data Input'!$AN74</f>
        <v>0.62966123209870861</v>
      </c>
      <c r="E190" s="263">
        <f>'Raw Data Input'!$AN74</f>
        <v>0.62966123209870861</v>
      </c>
      <c r="F190" s="263">
        <f>'Raw Data Input'!$AN74</f>
        <v>0.62966123209870861</v>
      </c>
      <c r="G190" s="263">
        <f>'Raw Data Input'!$AN74</f>
        <v>0.62966123209870861</v>
      </c>
      <c r="H190" s="263">
        <f>'Raw Data Input'!$AN74</f>
        <v>0.62966123209870861</v>
      </c>
      <c r="I190" s="263">
        <f>'Raw Data Input'!$AN74</f>
        <v>0.62966123209870861</v>
      </c>
      <c r="J190" s="263">
        <f>'Raw Data Input'!$AN74</f>
        <v>0.62966123209870861</v>
      </c>
      <c r="K190" s="263">
        <f>'Raw Data Input'!$AN74</f>
        <v>0.62966123209870861</v>
      </c>
      <c r="L190" s="263">
        <f>'Raw Data Input'!$AN74</f>
        <v>0.62966123209870861</v>
      </c>
      <c r="M190" s="263">
        <f>'Raw Data Input'!$AN74</f>
        <v>0.62966123209870861</v>
      </c>
      <c r="N190" s="263">
        <f>'Raw Data Input'!$AN74</f>
        <v>0.62966123209870861</v>
      </c>
      <c r="O190" s="263">
        <f>'Raw Data Input'!$AN74</f>
        <v>0.62966123209870861</v>
      </c>
      <c r="P190" s="263">
        <f>'Raw Data Input'!$AN74</f>
        <v>0.62966123209870861</v>
      </c>
      <c r="Q190" s="263">
        <f>'Raw Data Input'!$AN74</f>
        <v>0.62966123209870861</v>
      </c>
      <c r="R190" s="263">
        <f>'Raw Data Input'!$AN74</f>
        <v>0.62966123209870861</v>
      </c>
      <c r="S190" s="263">
        <f>'Raw Data Input'!$AN74</f>
        <v>0.62966123209870861</v>
      </c>
      <c r="T190" s="263">
        <f>'Raw Data Input'!$AN74</f>
        <v>0.62966123209870861</v>
      </c>
      <c r="U190" s="263">
        <f>'Raw Data Input'!$AN74</f>
        <v>0.62966123209870861</v>
      </c>
      <c r="V190" s="263">
        <f>'Raw Data Input'!$AN74</f>
        <v>0.62966123209870861</v>
      </c>
      <c r="W190" s="263">
        <f>'Raw Data Input'!$AN74</f>
        <v>0.62966123209870861</v>
      </c>
      <c r="X190" s="263">
        <f>'Raw Data Input'!$AN74</f>
        <v>0.62966123209870861</v>
      </c>
      <c r="Y190" s="263">
        <f>'Raw Data Input'!$AN74</f>
        <v>0.62966123209870861</v>
      </c>
      <c r="Z190" s="263">
        <f>'Raw Data Input'!$AN74</f>
        <v>0.62966123209870861</v>
      </c>
      <c r="AA190" s="263">
        <f>'Raw Data Input'!$AN74</f>
        <v>0.62966123209870861</v>
      </c>
      <c r="AB190" s="263">
        <f>'Raw Data Input'!$AN74</f>
        <v>0.62966123209870861</v>
      </c>
      <c r="AC190" s="263">
        <f>'Raw Data Input'!$AN74</f>
        <v>0.62966123209870861</v>
      </c>
      <c r="AD190" s="263">
        <f>'Raw Data Input'!$AN74</f>
        <v>0.62966123209870861</v>
      </c>
      <c r="AE190" s="263">
        <f>'Raw Data Input'!$AN74</f>
        <v>0.62966123209870861</v>
      </c>
      <c r="AF190" s="263">
        <f>'Raw Data Input'!$AN74</f>
        <v>0.62966123209870861</v>
      </c>
      <c r="AG190" s="263"/>
    </row>
    <row r="191" spans="1:33" s="25" customFormat="1" x14ac:dyDescent="0.2">
      <c r="A191" s="751" t="s">
        <v>304</v>
      </c>
      <c r="B191" s="57"/>
      <c r="C191" s="33">
        <f>C187/C185</f>
        <v>0.84127606639302632</v>
      </c>
      <c r="D191" s="33">
        <f t="shared" ref="D191:AF191" si="96">D187/D185</f>
        <v>0.84127606639302632</v>
      </c>
      <c r="E191" s="33">
        <f t="shared" si="96"/>
        <v>0.84127606639302632</v>
      </c>
      <c r="F191" s="33">
        <f t="shared" si="96"/>
        <v>0.84127606639302632</v>
      </c>
      <c r="G191" s="33">
        <f t="shared" si="96"/>
        <v>0.84127606639302632</v>
      </c>
      <c r="H191" s="33">
        <f t="shared" si="96"/>
        <v>0.84127606639302632</v>
      </c>
      <c r="I191" s="33">
        <f t="shared" si="96"/>
        <v>0.84127606639302632</v>
      </c>
      <c r="J191" s="33">
        <f t="shared" si="96"/>
        <v>0.84127606639302632</v>
      </c>
      <c r="K191" s="33">
        <f t="shared" si="96"/>
        <v>0.84127606639302632</v>
      </c>
      <c r="L191" s="33">
        <f t="shared" si="96"/>
        <v>0.84127606639302632</v>
      </c>
      <c r="M191" s="33">
        <f t="shared" si="96"/>
        <v>0.84127606639302632</v>
      </c>
      <c r="N191" s="33">
        <f t="shared" si="96"/>
        <v>0.84127606639302632</v>
      </c>
      <c r="O191" s="33">
        <f t="shared" si="96"/>
        <v>0.84127606639302632</v>
      </c>
      <c r="P191" s="33">
        <f t="shared" si="96"/>
        <v>0.84127606639302632</v>
      </c>
      <c r="Q191" s="33">
        <f t="shared" si="96"/>
        <v>0.84127606639302632</v>
      </c>
      <c r="R191" s="33">
        <f t="shared" si="96"/>
        <v>0.84127606639302632</v>
      </c>
      <c r="S191" s="33">
        <f t="shared" si="96"/>
        <v>0.84127606639302632</v>
      </c>
      <c r="T191" s="33">
        <f t="shared" si="96"/>
        <v>0.84127606639302632</v>
      </c>
      <c r="U191" s="33">
        <f t="shared" si="96"/>
        <v>0.84127606639302632</v>
      </c>
      <c r="V191" s="33">
        <f t="shared" si="96"/>
        <v>0.84127606639302632</v>
      </c>
      <c r="W191" s="33">
        <f t="shared" si="96"/>
        <v>0.84127606639302632</v>
      </c>
      <c r="X191" s="33">
        <f t="shared" si="96"/>
        <v>0.84127606639302632</v>
      </c>
      <c r="Y191" s="33">
        <f t="shared" si="96"/>
        <v>0.84127606639302632</v>
      </c>
      <c r="Z191" s="33">
        <f t="shared" si="96"/>
        <v>0.84127606639302632</v>
      </c>
      <c r="AA191" s="33">
        <f t="shared" si="96"/>
        <v>0.84127606639302632</v>
      </c>
      <c r="AB191" s="33">
        <f t="shared" si="96"/>
        <v>0.84127606639302632</v>
      </c>
      <c r="AC191" s="33">
        <f t="shared" si="96"/>
        <v>0.84127606639302632</v>
      </c>
      <c r="AD191" s="33">
        <f t="shared" si="96"/>
        <v>0.84127606639302632</v>
      </c>
      <c r="AE191" s="33">
        <f t="shared" si="96"/>
        <v>0.84127606639302632</v>
      </c>
      <c r="AF191" s="33">
        <f t="shared" si="96"/>
        <v>0.84127606639302632</v>
      </c>
      <c r="AG191" s="33"/>
    </row>
    <row r="192" spans="1:33" s="25" customFormat="1" x14ac:dyDescent="0.2">
      <c r="A192" s="6" t="s">
        <v>385</v>
      </c>
      <c r="B192" s="63"/>
      <c r="C192" s="53">
        <f>SQRT(C188^2+C186^2-(2*C196*C186*C188))</f>
        <v>0.14335559044267521</v>
      </c>
      <c r="D192" s="53">
        <f t="shared" ref="D192:AF192" si="97">SQRT(D188^2+D186^2-(2*D196*D186*D188))</f>
        <v>0.14335559044267521</v>
      </c>
      <c r="E192" s="53">
        <f t="shared" si="97"/>
        <v>0.14335559044267521</v>
      </c>
      <c r="F192" s="53">
        <f t="shared" si="97"/>
        <v>0.14335559044267521</v>
      </c>
      <c r="G192" s="53">
        <f t="shared" si="97"/>
        <v>0.14335559044267521</v>
      </c>
      <c r="H192" s="53">
        <f t="shared" si="97"/>
        <v>0.14335559044267521</v>
      </c>
      <c r="I192" s="53">
        <f t="shared" si="97"/>
        <v>0.14335559044267521</v>
      </c>
      <c r="J192" s="53">
        <f t="shared" si="97"/>
        <v>0.14335559044267521</v>
      </c>
      <c r="K192" s="53">
        <f t="shared" si="97"/>
        <v>0.14335559044267521</v>
      </c>
      <c r="L192" s="53">
        <f t="shared" si="97"/>
        <v>0.14335559044267521</v>
      </c>
      <c r="M192" s="53">
        <f t="shared" si="97"/>
        <v>0.14335559044267521</v>
      </c>
      <c r="N192" s="53">
        <f t="shared" si="97"/>
        <v>0.14335559044267521</v>
      </c>
      <c r="O192" s="53">
        <f t="shared" si="97"/>
        <v>0.14335559044267521</v>
      </c>
      <c r="P192" s="53">
        <f t="shared" si="97"/>
        <v>0.14335559044267521</v>
      </c>
      <c r="Q192" s="53">
        <f t="shared" si="97"/>
        <v>0.14335559044267521</v>
      </c>
      <c r="R192" s="53">
        <f t="shared" si="97"/>
        <v>0.14335559044267521</v>
      </c>
      <c r="S192" s="53">
        <f t="shared" si="97"/>
        <v>0.14335559044267521</v>
      </c>
      <c r="T192" s="53">
        <f t="shared" si="97"/>
        <v>0.14335559044267521</v>
      </c>
      <c r="U192" s="53">
        <f t="shared" si="97"/>
        <v>0.14335559044267521</v>
      </c>
      <c r="V192" s="53">
        <f t="shared" si="97"/>
        <v>0.14335559044267521</v>
      </c>
      <c r="W192" s="53">
        <f t="shared" si="97"/>
        <v>0.14335559044267521</v>
      </c>
      <c r="X192" s="53">
        <f t="shared" si="97"/>
        <v>0.14335559044267521</v>
      </c>
      <c r="Y192" s="53">
        <f t="shared" si="97"/>
        <v>0.14335559044267521</v>
      </c>
      <c r="Z192" s="53">
        <f t="shared" si="97"/>
        <v>0.14335559044267521</v>
      </c>
      <c r="AA192" s="53">
        <f t="shared" si="97"/>
        <v>0.14335559044267521</v>
      </c>
      <c r="AB192" s="53">
        <f t="shared" si="97"/>
        <v>0.14335559044267521</v>
      </c>
      <c r="AC192" s="53">
        <f t="shared" si="97"/>
        <v>0.14335559044267521</v>
      </c>
      <c r="AD192" s="53">
        <f t="shared" si="97"/>
        <v>0.14335559044267521</v>
      </c>
      <c r="AE192" s="53">
        <f t="shared" si="97"/>
        <v>0.14335559044267521</v>
      </c>
      <c r="AF192" s="53">
        <f t="shared" si="97"/>
        <v>0.14335559044267521</v>
      </c>
      <c r="AG192" s="53"/>
    </row>
    <row r="193" spans="1:33" s="25" customFormat="1" x14ac:dyDescent="0.2">
      <c r="A193" s="751" t="s">
        <v>128</v>
      </c>
      <c r="B193" s="63"/>
      <c r="C193" s="83">
        <f>C189/C185</f>
        <v>2.071852097794431</v>
      </c>
      <c r="D193" s="83">
        <f t="shared" ref="D193:AF193" si="98">D189/D185</f>
        <v>2.071852097794431</v>
      </c>
      <c r="E193" s="83">
        <f t="shared" si="98"/>
        <v>2.071852097794431</v>
      </c>
      <c r="F193" s="83">
        <f t="shared" si="98"/>
        <v>2.071852097794431</v>
      </c>
      <c r="G193" s="83">
        <f t="shared" si="98"/>
        <v>2.071852097794431</v>
      </c>
      <c r="H193" s="83">
        <f t="shared" si="98"/>
        <v>2.071852097794431</v>
      </c>
      <c r="I193" s="83">
        <f t="shared" si="98"/>
        <v>2.071852097794431</v>
      </c>
      <c r="J193" s="83">
        <f t="shared" si="98"/>
        <v>2.071852097794431</v>
      </c>
      <c r="K193" s="83">
        <f t="shared" si="98"/>
        <v>2.071852097794431</v>
      </c>
      <c r="L193" s="83">
        <f t="shared" si="98"/>
        <v>2.071852097794431</v>
      </c>
      <c r="M193" s="83">
        <f t="shared" si="98"/>
        <v>2.071852097794431</v>
      </c>
      <c r="N193" s="83">
        <f t="shared" si="98"/>
        <v>2.071852097794431</v>
      </c>
      <c r="O193" s="83">
        <f t="shared" si="98"/>
        <v>2.071852097794431</v>
      </c>
      <c r="P193" s="83">
        <f t="shared" si="98"/>
        <v>2.071852097794431</v>
      </c>
      <c r="Q193" s="83">
        <f t="shared" si="98"/>
        <v>2.071852097794431</v>
      </c>
      <c r="R193" s="83">
        <f t="shared" si="98"/>
        <v>2.071852097794431</v>
      </c>
      <c r="S193" s="83">
        <f t="shared" si="98"/>
        <v>2.071852097794431</v>
      </c>
      <c r="T193" s="83">
        <f t="shared" si="98"/>
        <v>2.071852097794431</v>
      </c>
      <c r="U193" s="83">
        <f t="shared" si="98"/>
        <v>2.071852097794431</v>
      </c>
      <c r="V193" s="83">
        <f t="shared" si="98"/>
        <v>2.071852097794431</v>
      </c>
      <c r="W193" s="83">
        <f t="shared" si="98"/>
        <v>2.071852097794431</v>
      </c>
      <c r="X193" s="83">
        <f t="shared" si="98"/>
        <v>2.071852097794431</v>
      </c>
      <c r="Y193" s="83">
        <f t="shared" si="98"/>
        <v>2.071852097794431</v>
      </c>
      <c r="Z193" s="83">
        <f t="shared" si="98"/>
        <v>2.071852097794431</v>
      </c>
      <c r="AA193" s="83">
        <f t="shared" si="98"/>
        <v>2.071852097794431</v>
      </c>
      <c r="AB193" s="83">
        <f t="shared" si="98"/>
        <v>2.071852097794431</v>
      </c>
      <c r="AC193" s="83">
        <f t="shared" si="98"/>
        <v>2.071852097794431</v>
      </c>
      <c r="AD193" s="83">
        <f t="shared" si="98"/>
        <v>2.071852097794431</v>
      </c>
      <c r="AE193" s="83">
        <f t="shared" si="98"/>
        <v>2.071852097794431</v>
      </c>
      <c r="AF193" s="83">
        <f t="shared" si="98"/>
        <v>2.071852097794431</v>
      </c>
      <c r="AG193" s="83"/>
    </row>
    <row r="194" spans="1:33" s="25" customFormat="1" x14ac:dyDescent="0.2">
      <c r="A194" s="6" t="s">
        <v>126</v>
      </c>
      <c r="B194" s="63"/>
      <c r="C194" s="53">
        <f>SQRT(C190^2+C186^2*-(2*C196*C190*C186))</f>
        <v>0.34680018707050997</v>
      </c>
      <c r="D194" s="53">
        <f t="shared" ref="D194:AF194" si="99">SQRT(D190^2+D186^2*-(2*D196*D190*D186))</f>
        <v>0.34680018707050997</v>
      </c>
      <c r="E194" s="53">
        <f t="shared" si="99"/>
        <v>0.34680018707050997</v>
      </c>
      <c r="F194" s="53">
        <f t="shared" si="99"/>
        <v>0.34680018707050997</v>
      </c>
      <c r="G194" s="53">
        <f t="shared" si="99"/>
        <v>0.34680018707050997</v>
      </c>
      <c r="H194" s="53">
        <f t="shared" si="99"/>
        <v>0.34680018707050997</v>
      </c>
      <c r="I194" s="53">
        <f t="shared" si="99"/>
        <v>0.34680018707050997</v>
      </c>
      <c r="J194" s="53">
        <f t="shared" si="99"/>
        <v>0.34680018707050997</v>
      </c>
      <c r="K194" s="53">
        <f t="shared" si="99"/>
        <v>0.34680018707050997</v>
      </c>
      <c r="L194" s="53">
        <f t="shared" si="99"/>
        <v>0.34680018707050997</v>
      </c>
      <c r="M194" s="53">
        <f t="shared" si="99"/>
        <v>0.34680018707050997</v>
      </c>
      <c r="N194" s="53">
        <f t="shared" si="99"/>
        <v>0.34680018707050997</v>
      </c>
      <c r="O194" s="53">
        <f t="shared" si="99"/>
        <v>0.34680018707050997</v>
      </c>
      <c r="P194" s="53">
        <f t="shared" si="99"/>
        <v>0.34680018707050997</v>
      </c>
      <c r="Q194" s="53">
        <f t="shared" si="99"/>
        <v>0.34680018707050997</v>
      </c>
      <c r="R194" s="53">
        <f t="shared" si="99"/>
        <v>0.34680018707050997</v>
      </c>
      <c r="S194" s="53">
        <f t="shared" si="99"/>
        <v>0.34680018707050997</v>
      </c>
      <c r="T194" s="53">
        <f t="shared" si="99"/>
        <v>0.34680018707050997</v>
      </c>
      <c r="U194" s="53">
        <f t="shared" si="99"/>
        <v>0.34680018707050997</v>
      </c>
      <c r="V194" s="53">
        <f t="shared" si="99"/>
        <v>0.34680018707050997</v>
      </c>
      <c r="W194" s="53">
        <f t="shared" si="99"/>
        <v>0.34680018707050997</v>
      </c>
      <c r="X194" s="53">
        <f t="shared" si="99"/>
        <v>0.34680018707050997</v>
      </c>
      <c r="Y194" s="53">
        <f t="shared" si="99"/>
        <v>0.34680018707050997</v>
      </c>
      <c r="Z194" s="53">
        <f t="shared" si="99"/>
        <v>0.34680018707050997</v>
      </c>
      <c r="AA194" s="53">
        <f t="shared" si="99"/>
        <v>0.34680018707050997</v>
      </c>
      <c r="AB194" s="53">
        <f t="shared" si="99"/>
        <v>0.34680018707050997</v>
      </c>
      <c r="AC194" s="53">
        <f t="shared" si="99"/>
        <v>0.34680018707050997</v>
      </c>
      <c r="AD194" s="53">
        <f t="shared" si="99"/>
        <v>0.34680018707050997</v>
      </c>
      <c r="AE194" s="53">
        <f t="shared" si="99"/>
        <v>0.34680018707050997</v>
      </c>
      <c r="AF194" s="53">
        <f t="shared" si="99"/>
        <v>0.34680018707050997</v>
      </c>
      <c r="AG194" s="53"/>
    </row>
    <row r="195" spans="1:33" x14ac:dyDescent="0.2">
      <c r="A195" s="5" t="s">
        <v>209</v>
      </c>
      <c r="B195" s="63"/>
      <c r="C195" s="34">
        <f>(204+206*C185+207*C187+208*C189)/(1+SUM(C185,C187,C189))</f>
        <v>207.22947016742611</v>
      </c>
      <c r="D195" s="34">
        <f t="shared" ref="D195:AF195" si="100">(204+206*D185+207*D187+208*D189)/(1+SUM(D185,D187,D189))</f>
        <v>207.22947016742611</v>
      </c>
      <c r="E195" s="34">
        <f t="shared" si="100"/>
        <v>207.22947016742611</v>
      </c>
      <c r="F195" s="34">
        <f t="shared" si="100"/>
        <v>207.22947016742611</v>
      </c>
      <c r="G195" s="34">
        <f t="shared" si="100"/>
        <v>207.22947016742611</v>
      </c>
      <c r="H195" s="34">
        <f t="shared" si="100"/>
        <v>207.22947016742611</v>
      </c>
      <c r="I195" s="34">
        <f t="shared" si="100"/>
        <v>207.22947016742611</v>
      </c>
      <c r="J195" s="34">
        <f t="shared" si="100"/>
        <v>207.22947016742611</v>
      </c>
      <c r="K195" s="34">
        <f t="shared" si="100"/>
        <v>207.22947016742611</v>
      </c>
      <c r="L195" s="34">
        <f t="shared" si="100"/>
        <v>207.22947016742611</v>
      </c>
      <c r="M195" s="34">
        <f t="shared" si="100"/>
        <v>207.22947016742611</v>
      </c>
      <c r="N195" s="34">
        <f t="shared" si="100"/>
        <v>207.22947016742611</v>
      </c>
      <c r="O195" s="34">
        <f t="shared" si="100"/>
        <v>207.22947016742611</v>
      </c>
      <c r="P195" s="34">
        <f t="shared" si="100"/>
        <v>207.22947016742611</v>
      </c>
      <c r="Q195" s="34">
        <f t="shared" si="100"/>
        <v>207.22947016742611</v>
      </c>
      <c r="R195" s="34">
        <f t="shared" si="100"/>
        <v>207.22947016742611</v>
      </c>
      <c r="S195" s="34">
        <f t="shared" si="100"/>
        <v>207.22947016742611</v>
      </c>
      <c r="T195" s="34">
        <f t="shared" si="100"/>
        <v>207.22947016742611</v>
      </c>
      <c r="U195" s="34">
        <f t="shared" si="100"/>
        <v>207.22947016742611</v>
      </c>
      <c r="V195" s="34">
        <f t="shared" si="100"/>
        <v>207.22947016742611</v>
      </c>
      <c r="W195" s="34">
        <f t="shared" si="100"/>
        <v>207.22947016742611</v>
      </c>
      <c r="X195" s="34">
        <f t="shared" si="100"/>
        <v>207.22947016742611</v>
      </c>
      <c r="Y195" s="34">
        <f t="shared" si="100"/>
        <v>207.22947016742611</v>
      </c>
      <c r="Z195" s="34">
        <f t="shared" si="100"/>
        <v>207.22947016742611</v>
      </c>
      <c r="AA195" s="34">
        <f t="shared" si="100"/>
        <v>207.22947016742611</v>
      </c>
      <c r="AB195" s="34">
        <f t="shared" si="100"/>
        <v>207.22947016742611</v>
      </c>
      <c r="AC195" s="34">
        <f t="shared" si="100"/>
        <v>207.22947016742611</v>
      </c>
      <c r="AD195" s="34">
        <f t="shared" si="100"/>
        <v>207.22947016742611</v>
      </c>
      <c r="AE195" s="34">
        <f t="shared" si="100"/>
        <v>207.22947016742611</v>
      </c>
      <c r="AF195" s="34">
        <f t="shared" si="100"/>
        <v>207.22947016742611</v>
      </c>
      <c r="AG195" s="34"/>
    </row>
    <row r="196" spans="1:33" x14ac:dyDescent="0.2">
      <c r="A196" s="529" t="s">
        <v>734</v>
      </c>
      <c r="C196" s="752">
        <f>'Raw Data Input'!$AM75</f>
        <v>0.98</v>
      </c>
      <c r="D196" s="752">
        <f>'Raw Data Input'!$AM75</f>
        <v>0.98</v>
      </c>
      <c r="E196" s="752">
        <f>'Raw Data Input'!$AM75</f>
        <v>0.98</v>
      </c>
      <c r="F196" s="752">
        <f>'Raw Data Input'!$AM75</f>
        <v>0.98</v>
      </c>
      <c r="G196" s="752">
        <f>'Raw Data Input'!$AM75</f>
        <v>0.98</v>
      </c>
      <c r="H196" s="752">
        <f>'Raw Data Input'!$AM75</f>
        <v>0.98</v>
      </c>
      <c r="I196" s="752">
        <f>'Raw Data Input'!$AM75</f>
        <v>0.98</v>
      </c>
      <c r="J196" s="752">
        <f>'Raw Data Input'!$AM75</f>
        <v>0.98</v>
      </c>
      <c r="K196" s="752">
        <f>'Raw Data Input'!$AM75</f>
        <v>0.98</v>
      </c>
      <c r="L196" s="752">
        <f>'Raw Data Input'!$AM75</f>
        <v>0.98</v>
      </c>
      <c r="M196" s="752">
        <f>'Raw Data Input'!$AM75</f>
        <v>0.98</v>
      </c>
      <c r="N196" s="752">
        <f>'Raw Data Input'!$AM75</f>
        <v>0.98</v>
      </c>
      <c r="O196" s="752">
        <f>'Raw Data Input'!$AM75</f>
        <v>0.98</v>
      </c>
      <c r="P196" s="752">
        <f>'Raw Data Input'!$AM75</f>
        <v>0.98</v>
      </c>
      <c r="Q196" s="752">
        <f>'Raw Data Input'!$AM75</f>
        <v>0.98</v>
      </c>
      <c r="R196" s="752">
        <f>'Raw Data Input'!$AM75</f>
        <v>0.98</v>
      </c>
      <c r="S196" s="752">
        <f>'Raw Data Input'!$AM75</f>
        <v>0.98</v>
      </c>
      <c r="T196" s="752">
        <f>'Raw Data Input'!$AM75</f>
        <v>0.98</v>
      </c>
      <c r="U196" s="752">
        <f>'Raw Data Input'!$AM75</f>
        <v>0.98</v>
      </c>
      <c r="V196" s="752">
        <f>'Raw Data Input'!$AM75</f>
        <v>0.98</v>
      </c>
      <c r="W196" s="752">
        <f>'Raw Data Input'!$AM75</f>
        <v>0.98</v>
      </c>
      <c r="X196" s="752">
        <f>'Raw Data Input'!$AM75</f>
        <v>0.98</v>
      </c>
      <c r="Y196" s="752">
        <f>'Raw Data Input'!$AM75</f>
        <v>0.98</v>
      </c>
      <c r="Z196" s="752">
        <f>'Raw Data Input'!$AM75</f>
        <v>0.98</v>
      </c>
      <c r="AA196" s="752">
        <f>'Raw Data Input'!$AM75</f>
        <v>0.98</v>
      </c>
      <c r="AB196" s="752">
        <f>'Raw Data Input'!$AM75</f>
        <v>0.98</v>
      </c>
      <c r="AC196" s="752">
        <f>'Raw Data Input'!$AM75</f>
        <v>0.98</v>
      </c>
      <c r="AD196" s="752">
        <f>'Raw Data Input'!$AM75</f>
        <v>0.98</v>
      </c>
      <c r="AE196" s="752">
        <f>'Raw Data Input'!$AM75</f>
        <v>0.98</v>
      </c>
      <c r="AF196" s="752">
        <f>'Raw Data Input'!$AM75</f>
        <v>0.98</v>
      </c>
    </row>
    <row r="197" spans="1:33" ht="18" x14ac:dyDescent="0.2">
      <c r="A197" s="1" t="s">
        <v>515</v>
      </c>
    </row>
    <row r="198" spans="1:33" s="262" customFormat="1" x14ac:dyDescent="0.2">
      <c r="A198" s="198" t="s">
        <v>305</v>
      </c>
      <c r="B198" s="63"/>
      <c r="C198" s="263">
        <f>'Raw Data Input'!$AM66</f>
        <v>18.042194590863367</v>
      </c>
      <c r="D198" s="263">
        <f>'Raw Data Input'!$AM66</f>
        <v>18.042194590863367</v>
      </c>
      <c r="E198" s="263">
        <f>'Raw Data Input'!$AM66</f>
        <v>18.042194590863367</v>
      </c>
      <c r="F198" s="263">
        <f>'Raw Data Input'!$AM66</f>
        <v>18.042194590863367</v>
      </c>
      <c r="G198" s="263">
        <f>'Raw Data Input'!$AM66</f>
        <v>18.042194590863367</v>
      </c>
      <c r="H198" s="263">
        <f>'Raw Data Input'!$AM66</f>
        <v>18.042194590863367</v>
      </c>
      <c r="I198" s="263">
        <f>'Raw Data Input'!$AM66</f>
        <v>18.042194590863367</v>
      </c>
      <c r="J198" s="263">
        <f>'Raw Data Input'!$AM66</f>
        <v>18.042194590863367</v>
      </c>
      <c r="K198" s="263">
        <f>'Raw Data Input'!$AM66</f>
        <v>18.042194590863367</v>
      </c>
      <c r="L198" s="263">
        <f>'Raw Data Input'!$AM66</f>
        <v>18.042194590863367</v>
      </c>
      <c r="M198" s="263">
        <f>'Raw Data Input'!$AM66</f>
        <v>18.042194590863367</v>
      </c>
      <c r="N198" s="263">
        <f>'Raw Data Input'!$AM66</f>
        <v>18.042194590863367</v>
      </c>
      <c r="O198" s="263">
        <f>'Raw Data Input'!$AM66</f>
        <v>18.042194590863367</v>
      </c>
      <c r="P198" s="263">
        <f>'Raw Data Input'!$AM66</f>
        <v>18.042194590863367</v>
      </c>
      <c r="Q198" s="263">
        <f>'Raw Data Input'!$AM66</f>
        <v>18.042194590863367</v>
      </c>
      <c r="R198" s="263">
        <f>'Raw Data Input'!$AM66</f>
        <v>18.042194590863367</v>
      </c>
      <c r="S198" s="263">
        <f>'Raw Data Input'!$AM66</f>
        <v>18.042194590863367</v>
      </c>
      <c r="T198" s="263">
        <f>'Raw Data Input'!$AM66</f>
        <v>18.042194590863367</v>
      </c>
      <c r="U198" s="263">
        <f>'Raw Data Input'!$AM66</f>
        <v>18.042194590863367</v>
      </c>
      <c r="V198" s="263">
        <f>'Raw Data Input'!$AM66</f>
        <v>18.042194590863367</v>
      </c>
      <c r="W198" s="263">
        <f>'Raw Data Input'!$AM66</f>
        <v>18.042194590863367</v>
      </c>
      <c r="X198" s="263">
        <f>'Raw Data Input'!$AM66</f>
        <v>18.042194590863367</v>
      </c>
      <c r="Y198" s="263">
        <f>'Raw Data Input'!$AM66</f>
        <v>18.042194590863367</v>
      </c>
      <c r="Z198" s="263">
        <f>'Raw Data Input'!$AM66</f>
        <v>18.042194590863367</v>
      </c>
      <c r="AA198" s="263">
        <f>'Raw Data Input'!$AM66</f>
        <v>18.042194590863367</v>
      </c>
      <c r="AB198" s="263">
        <f>'Raw Data Input'!$AM66</f>
        <v>18.042194590863367</v>
      </c>
      <c r="AC198" s="263">
        <f>'Raw Data Input'!$AM66</f>
        <v>18.042194590863367</v>
      </c>
      <c r="AD198" s="263">
        <f>'Raw Data Input'!$AM66</f>
        <v>18.042194590863367</v>
      </c>
      <c r="AE198" s="263">
        <f>'Raw Data Input'!$AM66</f>
        <v>18.042194590863367</v>
      </c>
      <c r="AF198" s="263">
        <f>'Raw Data Input'!$AM66</f>
        <v>18.042194590863367</v>
      </c>
      <c r="AG198" s="263"/>
    </row>
    <row r="199" spans="1:33" s="262" customFormat="1" x14ac:dyDescent="0.2">
      <c r="A199" s="44" t="s">
        <v>385</v>
      </c>
      <c r="B199" s="63"/>
      <c r="C199" s="263">
        <f>'Raw Data Input'!$AN66</f>
        <v>0.6071393779268438</v>
      </c>
      <c r="D199" s="263">
        <f>'Raw Data Input'!$AN66</f>
        <v>0.6071393779268438</v>
      </c>
      <c r="E199" s="263">
        <f>'Raw Data Input'!$AN66</f>
        <v>0.6071393779268438</v>
      </c>
      <c r="F199" s="263">
        <f>'Raw Data Input'!$AN66</f>
        <v>0.6071393779268438</v>
      </c>
      <c r="G199" s="263">
        <f>'Raw Data Input'!$AN66</f>
        <v>0.6071393779268438</v>
      </c>
      <c r="H199" s="263">
        <f>'Raw Data Input'!$AN66</f>
        <v>0.6071393779268438</v>
      </c>
      <c r="I199" s="263">
        <f>'Raw Data Input'!$AN66</f>
        <v>0.6071393779268438</v>
      </c>
      <c r="J199" s="263">
        <f>'Raw Data Input'!$AN66</f>
        <v>0.6071393779268438</v>
      </c>
      <c r="K199" s="263">
        <f>'Raw Data Input'!$AN66</f>
        <v>0.6071393779268438</v>
      </c>
      <c r="L199" s="263">
        <f>'Raw Data Input'!$AN66</f>
        <v>0.6071393779268438</v>
      </c>
      <c r="M199" s="263">
        <f>'Raw Data Input'!$AN66</f>
        <v>0.6071393779268438</v>
      </c>
      <c r="N199" s="263">
        <f>'Raw Data Input'!$AN66</f>
        <v>0.6071393779268438</v>
      </c>
      <c r="O199" s="263">
        <f>'Raw Data Input'!$AN66</f>
        <v>0.6071393779268438</v>
      </c>
      <c r="P199" s="263">
        <f>'Raw Data Input'!$AN66</f>
        <v>0.6071393779268438</v>
      </c>
      <c r="Q199" s="263">
        <f>'Raw Data Input'!$AN66</f>
        <v>0.6071393779268438</v>
      </c>
      <c r="R199" s="263">
        <f>'Raw Data Input'!$AN66</f>
        <v>0.6071393779268438</v>
      </c>
      <c r="S199" s="263">
        <f>'Raw Data Input'!$AN66</f>
        <v>0.6071393779268438</v>
      </c>
      <c r="T199" s="263">
        <f>'Raw Data Input'!$AN66</f>
        <v>0.6071393779268438</v>
      </c>
      <c r="U199" s="263">
        <f>'Raw Data Input'!$AN66</f>
        <v>0.6071393779268438</v>
      </c>
      <c r="V199" s="263">
        <f>'Raw Data Input'!$AN66</f>
        <v>0.6071393779268438</v>
      </c>
      <c r="W199" s="263">
        <f>'Raw Data Input'!$AN66</f>
        <v>0.6071393779268438</v>
      </c>
      <c r="X199" s="263">
        <f>'Raw Data Input'!$AN66</f>
        <v>0.6071393779268438</v>
      </c>
      <c r="Y199" s="263">
        <f>'Raw Data Input'!$AN66</f>
        <v>0.6071393779268438</v>
      </c>
      <c r="Z199" s="263">
        <f>'Raw Data Input'!$AN66</f>
        <v>0.6071393779268438</v>
      </c>
      <c r="AA199" s="263">
        <f>'Raw Data Input'!$AN66</f>
        <v>0.6071393779268438</v>
      </c>
      <c r="AB199" s="263">
        <f>'Raw Data Input'!$AN66</f>
        <v>0.6071393779268438</v>
      </c>
      <c r="AC199" s="263">
        <f>'Raw Data Input'!$AN66</f>
        <v>0.6071393779268438</v>
      </c>
      <c r="AD199" s="263">
        <f>'Raw Data Input'!$AN66</f>
        <v>0.6071393779268438</v>
      </c>
      <c r="AE199" s="263">
        <f>'Raw Data Input'!$AN66</f>
        <v>0.6071393779268438</v>
      </c>
      <c r="AF199" s="263">
        <f>'Raw Data Input'!$AN66</f>
        <v>0.6071393779268438</v>
      </c>
      <c r="AG199" s="263"/>
    </row>
    <row r="200" spans="1:33" s="262" customFormat="1" x14ac:dyDescent="0.2">
      <c r="A200" s="198" t="s">
        <v>306</v>
      </c>
      <c r="B200" s="63"/>
      <c r="C200" s="263">
        <f>'Raw Data Input'!$AM67</f>
        <v>15.53710207768766</v>
      </c>
      <c r="D200" s="263">
        <f>'Raw Data Input'!$AM67</f>
        <v>15.53710207768766</v>
      </c>
      <c r="E200" s="263">
        <f>'Raw Data Input'!$AM67</f>
        <v>15.53710207768766</v>
      </c>
      <c r="F200" s="263">
        <f>'Raw Data Input'!$AM67</f>
        <v>15.53710207768766</v>
      </c>
      <c r="G200" s="263">
        <f>'Raw Data Input'!$AM67</f>
        <v>15.53710207768766</v>
      </c>
      <c r="H200" s="263">
        <f>'Raw Data Input'!$AM67</f>
        <v>15.53710207768766</v>
      </c>
      <c r="I200" s="263">
        <f>'Raw Data Input'!$AM67</f>
        <v>15.53710207768766</v>
      </c>
      <c r="J200" s="263">
        <f>'Raw Data Input'!$AM67</f>
        <v>15.53710207768766</v>
      </c>
      <c r="K200" s="263">
        <f>'Raw Data Input'!$AM67</f>
        <v>15.53710207768766</v>
      </c>
      <c r="L200" s="263">
        <f>'Raw Data Input'!$AM67</f>
        <v>15.53710207768766</v>
      </c>
      <c r="M200" s="263">
        <f>'Raw Data Input'!$AM67</f>
        <v>15.53710207768766</v>
      </c>
      <c r="N200" s="263">
        <f>'Raw Data Input'!$AM67</f>
        <v>15.53710207768766</v>
      </c>
      <c r="O200" s="263">
        <f>'Raw Data Input'!$AM67</f>
        <v>15.53710207768766</v>
      </c>
      <c r="P200" s="263">
        <f>'Raw Data Input'!$AM67</f>
        <v>15.53710207768766</v>
      </c>
      <c r="Q200" s="263">
        <f>'Raw Data Input'!$AM67</f>
        <v>15.53710207768766</v>
      </c>
      <c r="R200" s="263">
        <f>'Raw Data Input'!$AM67</f>
        <v>15.53710207768766</v>
      </c>
      <c r="S200" s="263">
        <f>'Raw Data Input'!$AM67</f>
        <v>15.53710207768766</v>
      </c>
      <c r="T200" s="263">
        <f>'Raw Data Input'!$AM67</f>
        <v>15.53710207768766</v>
      </c>
      <c r="U200" s="263">
        <f>'Raw Data Input'!$AM67</f>
        <v>15.53710207768766</v>
      </c>
      <c r="V200" s="263">
        <f>'Raw Data Input'!$AM67</f>
        <v>15.53710207768766</v>
      </c>
      <c r="W200" s="263">
        <f>'Raw Data Input'!$AM67</f>
        <v>15.53710207768766</v>
      </c>
      <c r="X200" s="263">
        <f>'Raw Data Input'!$AM67</f>
        <v>15.53710207768766</v>
      </c>
      <c r="Y200" s="263">
        <f>'Raw Data Input'!$AM67</f>
        <v>15.53710207768766</v>
      </c>
      <c r="Z200" s="263">
        <f>'Raw Data Input'!$AM67</f>
        <v>15.53710207768766</v>
      </c>
      <c r="AA200" s="263">
        <f>'Raw Data Input'!$AM67</f>
        <v>15.53710207768766</v>
      </c>
      <c r="AB200" s="263">
        <f>'Raw Data Input'!$AM67</f>
        <v>15.53710207768766</v>
      </c>
      <c r="AC200" s="263">
        <f>'Raw Data Input'!$AM67</f>
        <v>15.53710207768766</v>
      </c>
      <c r="AD200" s="263">
        <f>'Raw Data Input'!$AM67</f>
        <v>15.53710207768766</v>
      </c>
      <c r="AE200" s="263">
        <f>'Raw Data Input'!$AM67</f>
        <v>15.53710207768766</v>
      </c>
      <c r="AF200" s="263">
        <f>'Raw Data Input'!$AM67</f>
        <v>15.53710207768766</v>
      </c>
      <c r="AG200" s="263"/>
    </row>
    <row r="201" spans="1:33" s="262" customFormat="1" x14ac:dyDescent="0.2">
      <c r="A201" s="44" t="s">
        <v>385</v>
      </c>
      <c r="B201" s="63"/>
      <c r="C201" s="263">
        <f>'Raw Data Input'!$AN67</f>
        <v>0.51783738073210117</v>
      </c>
      <c r="D201" s="263">
        <f>'Raw Data Input'!$AN67</f>
        <v>0.51783738073210117</v>
      </c>
      <c r="E201" s="263">
        <f>'Raw Data Input'!$AN67</f>
        <v>0.51783738073210117</v>
      </c>
      <c r="F201" s="263">
        <f>'Raw Data Input'!$AN67</f>
        <v>0.51783738073210117</v>
      </c>
      <c r="G201" s="263">
        <f>'Raw Data Input'!$AN67</f>
        <v>0.51783738073210117</v>
      </c>
      <c r="H201" s="263">
        <f>'Raw Data Input'!$AN67</f>
        <v>0.51783738073210117</v>
      </c>
      <c r="I201" s="263">
        <f>'Raw Data Input'!$AN67</f>
        <v>0.51783738073210117</v>
      </c>
      <c r="J201" s="263">
        <f>'Raw Data Input'!$AN67</f>
        <v>0.51783738073210117</v>
      </c>
      <c r="K201" s="263">
        <f>'Raw Data Input'!$AN67</f>
        <v>0.51783738073210117</v>
      </c>
      <c r="L201" s="263">
        <f>'Raw Data Input'!$AN67</f>
        <v>0.51783738073210117</v>
      </c>
      <c r="M201" s="263">
        <f>'Raw Data Input'!$AN67</f>
        <v>0.51783738073210117</v>
      </c>
      <c r="N201" s="263">
        <f>'Raw Data Input'!$AN67</f>
        <v>0.51783738073210117</v>
      </c>
      <c r="O201" s="263">
        <f>'Raw Data Input'!$AN67</f>
        <v>0.51783738073210117</v>
      </c>
      <c r="P201" s="263">
        <f>'Raw Data Input'!$AN67</f>
        <v>0.51783738073210117</v>
      </c>
      <c r="Q201" s="263">
        <f>'Raw Data Input'!$AN67</f>
        <v>0.51783738073210117</v>
      </c>
      <c r="R201" s="263">
        <f>'Raw Data Input'!$AN67</f>
        <v>0.51783738073210117</v>
      </c>
      <c r="S201" s="263">
        <f>'Raw Data Input'!$AN67</f>
        <v>0.51783738073210117</v>
      </c>
      <c r="T201" s="263">
        <f>'Raw Data Input'!$AN67</f>
        <v>0.51783738073210117</v>
      </c>
      <c r="U201" s="263">
        <f>'Raw Data Input'!$AN67</f>
        <v>0.51783738073210117</v>
      </c>
      <c r="V201" s="263">
        <f>'Raw Data Input'!$AN67</f>
        <v>0.51783738073210117</v>
      </c>
      <c r="W201" s="263">
        <f>'Raw Data Input'!$AN67</f>
        <v>0.51783738073210117</v>
      </c>
      <c r="X201" s="263">
        <f>'Raw Data Input'!$AN67</f>
        <v>0.51783738073210117</v>
      </c>
      <c r="Y201" s="263">
        <f>'Raw Data Input'!$AN67</f>
        <v>0.51783738073210117</v>
      </c>
      <c r="Z201" s="263">
        <f>'Raw Data Input'!$AN67</f>
        <v>0.51783738073210117</v>
      </c>
      <c r="AA201" s="263">
        <f>'Raw Data Input'!$AN67</f>
        <v>0.51783738073210117</v>
      </c>
      <c r="AB201" s="263">
        <f>'Raw Data Input'!$AN67</f>
        <v>0.51783738073210117</v>
      </c>
      <c r="AC201" s="263">
        <f>'Raw Data Input'!$AN67</f>
        <v>0.51783738073210117</v>
      </c>
      <c r="AD201" s="263">
        <f>'Raw Data Input'!$AN67</f>
        <v>0.51783738073210117</v>
      </c>
      <c r="AE201" s="263">
        <f>'Raw Data Input'!$AN67</f>
        <v>0.51783738073210117</v>
      </c>
      <c r="AF201" s="263">
        <f>'Raw Data Input'!$AN67</f>
        <v>0.51783738073210117</v>
      </c>
      <c r="AG201" s="263"/>
    </row>
    <row r="202" spans="1:33" s="262" customFormat="1" x14ac:dyDescent="0.2">
      <c r="A202" s="198" t="s">
        <v>307</v>
      </c>
      <c r="B202" s="63"/>
      <c r="C202" s="263">
        <f>'Raw Data Input'!$AM68</f>
        <v>37.686306737704669</v>
      </c>
      <c r="D202" s="263">
        <f>'Raw Data Input'!$AM68</f>
        <v>37.686306737704669</v>
      </c>
      <c r="E202" s="263">
        <f>'Raw Data Input'!$AM68</f>
        <v>37.686306737704669</v>
      </c>
      <c r="F202" s="263">
        <f>'Raw Data Input'!$AM68</f>
        <v>37.686306737704669</v>
      </c>
      <c r="G202" s="263">
        <f>'Raw Data Input'!$AM68</f>
        <v>37.686306737704669</v>
      </c>
      <c r="H202" s="263">
        <f>'Raw Data Input'!$AM68</f>
        <v>37.686306737704669</v>
      </c>
      <c r="I202" s="263">
        <f>'Raw Data Input'!$AM68</f>
        <v>37.686306737704669</v>
      </c>
      <c r="J202" s="263">
        <f>'Raw Data Input'!$AM68</f>
        <v>37.686306737704669</v>
      </c>
      <c r="K202" s="263">
        <f>'Raw Data Input'!$AM68</f>
        <v>37.686306737704669</v>
      </c>
      <c r="L202" s="263">
        <f>'Raw Data Input'!$AM68</f>
        <v>37.686306737704669</v>
      </c>
      <c r="M202" s="263">
        <f>'Raw Data Input'!$AM68</f>
        <v>37.686306737704669</v>
      </c>
      <c r="N202" s="263">
        <f>'Raw Data Input'!$AM68</f>
        <v>37.686306737704669</v>
      </c>
      <c r="O202" s="263">
        <f>'Raw Data Input'!$AM68</f>
        <v>37.686306737704669</v>
      </c>
      <c r="P202" s="263">
        <f>'Raw Data Input'!$AM68</f>
        <v>37.686306737704669</v>
      </c>
      <c r="Q202" s="263">
        <f>'Raw Data Input'!$AM68</f>
        <v>37.686306737704669</v>
      </c>
      <c r="R202" s="263">
        <f>'Raw Data Input'!$AM68</f>
        <v>37.686306737704669</v>
      </c>
      <c r="S202" s="263">
        <f>'Raw Data Input'!$AM68</f>
        <v>37.686306737704669</v>
      </c>
      <c r="T202" s="263">
        <f>'Raw Data Input'!$AM68</f>
        <v>37.686306737704669</v>
      </c>
      <c r="U202" s="263">
        <f>'Raw Data Input'!$AM68</f>
        <v>37.686306737704669</v>
      </c>
      <c r="V202" s="263">
        <f>'Raw Data Input'!$AM68</f>
        <v>37.686306737704669</v>
      </c>
      <c r="W202" s="263">
        <f>'Raw Data Input'!$AM68</f>
        <v>37.686306737704669</v>
      </c>
      <c r="X202" s="263">
        <f>'Raw Data Input'!$AM68</f>
        <v>37.686306737704669</v>
      </c>
      <c r="Y202" s="263">
        <f>'Raw Data Input'!$AM68</f>
        <v>37.686306737704669</v>
      </c>
      <c r="Z202" s="263">
        <f>'Raw Data Input'!$AM68</f>
        <v>37.686306737704669</v>
      </c>
      <c r="AA202" s="263">
        <f>'Raw Data Input'!$AM68</f>
        <v>37.686306737704669</v>
      </c>
      <c r="AB202" s="263">
        <f>'Raw Data Input'!$AM68</f>
        <v>37.686306737704669</v>
      </c>
      <c r="AC202" s="263">
        <f>'Raw Data Input'!$AM68</f>
        <v>37.686306737704669</v>
      </c>
      <c r="AD202" s="263">
        <f>'Raw Data Input'!$AM68</f>
        <v>37.686306737704669</v>
      </c>
      <c r="AE202" s="263">
        <f>'Raw Data Input'!$AM68</f>
        <v>37.686306737704669</v>
      </c>
      <c r="AF202" s="263">
        <f>'Raw Data Input'!$AM68</f>
        <v>37.686306737704669</v>
      </c>
      <c r="AG202" s="263"/>
    </row>
    <row r="203" spans="1:33" s="262" customFormat="1" x14ac:dyDescent="0.2">
      <c r="A203" s="44" t="s">
        <v>385</v>
      </c>
      <c r="B203" s="63"/>
      <c r="C203" s="263">
        <f>'Raw Data Input'!$AN68</f>
        <v>0.62966123209870861</v>
      </c>
      <c r="D203" s="263">
        <f>'Raw Data Input'!$AN68</f>
        <v>0.62966123209870861</v>
      </c>
      <c r="E203" s="263">
        <f>'Raw Data Input'!$AN68</f>
        <v>0.62966123209870861</v>
      </c>
      <c r="F203" s="263">
        <f>'Raw Data Input'!$AN68</f>
        <v>0.62966123209870861</v>
      </c>
      <c r="G203" s="263">
        <f>'Raw Data Input'!$AN68</f>
        <v>0.62966123209870861</v>
      </c>
      <c r="H203" s="263">
        <f>'Raw Data Input'!$AN68</f>
        <v>0.62966123209870861</v>
      </c>
      <c r="I203" s="263">
        <f>'Raw Data Input'!$AN68</f>
        <v>0.62966123209870861</v>
      </c>
      <c r="J203" s="263">
        <f>'Raw Data Input'!$AN68</f>
        <v>0.62966123209870861</v>
      </c>
      <c r="K203" s="263">
        <f>'Raw Data Input'!$AN68</f>
        <v>0.62966123209870861</v>
      </c>
      <c r="L203" s="263">
        <f>'Raw Data Input'!$AN68</f>
        <v>0.62966123209870861</v>
      </c>
      <c r="M203" s="263">
        <f>'Raw Data Input'!$AN68</f>
        <v>0.62966123209870861</v>
      </c>
      <c r="N203" s="263">
        <f>'Raw Data Input'!$AN68</f>
        <v>0.62966123209870861</v>
      </c>
      <c r="O203" s="263">
        <f>'Raw Data Input'!$AN68</f>
        <v>0.62966123209870861</v>
      </c>
      <c r="P203" s="263">
        <f>'Raw Data Input'!$AN68</f>
        <v>0.62966123209870861</v>
      </c>
      <c r="Q203" s="263">
        <f>'Raw Data Input'!$AN68</f>
        <v>0.62966123209870861</v>
      </c>
      <c r="R203" s="263">
        <f>'Raw Data Input'!$AN68</f>
        <v>0.62966123209870861</v>
      </c>
      <c r="S203" s="263">
        <f>'Raw Data Input'!$AN68</f>
        <v>0.62966123209870861</v>
      </c>
      <c r="T203" s="263">
        <f>'Raw Data Input'!$AN68</f>
        <v>0.62966123209870861</v>
      </c>
      <c r="U203" s="263">
        <f>'Raw Data Input'!$AN68</f>
        <v>0.62966123209870861</v>
      </c>
      <c r="V203" s="263">
        <f>'Raw Data Input'!$AN68</f>
        <v>0.62966123209870861</v>
      </c>
      <c r="W203" s="263">
        <f>'Raw Data Input'!$AN68</f>
        <v>0.62966123209870861</v>
      </c>
      <c r="X203" s="263">
        <f>'Raw Data Input'!$AN68</f>
        <v>0.62966123209870861</v>
      </c>
      <c r="Y203" s="263">
        <f>'Raw Data Input'!$AN68</f>
        <v>0.62966123209870861</v>
      </c>
      <c r="Z203" s="263">
        <f>'Raw Data Input'!$AN68</f>
        <v>0.62966123209870861</v>
      </c>
      <c r="AA203" s="263">
        <f>'Raw Data Input'!$AN68</f>
        <v>0.62966123209870861</v>
      </c>
      <c r="AB203" s="263">
        <f>'Raw Data Input'!$AN68</f>
        <v>0.62966123209870861</v>
      </c>
      <c r="AC203" s="263">
        <f>'Raw Data Input'!$AN68</f>
        <v>0.62966123209870861</v>
      </c>
      <c r="AD203" s="263">
        <f>'Raw Data Input'!$AN68</f>
        <v>0.62966123209870861</v>
      </c>
      <c r="AE203" s="263">
        <f>'Raw Data Input'!$AN68</f>
        <v>0.62966123209870861</v>
      </c>
      <c r="AF203" s="263">
        <f>'Raw Data Input'!$AN68</f>
        <v>0.62966123209870861</v>
      </c>
      <c r="AG203" s="263"/>
    </row>
    <row r="204" spans="1:33" s="25" customFormat="1" x14ac:dyDescent="0.2">
      <c r="A204" s="5" t="s">
        <v>308</v>
      </c>
      <c r="B204" s="57"/>
      <c r="C204" s="33">
        <f>C200/C198</f>
        <v>0.86115366949626537</v>
      </c>
      <c r="D204" s="33">
        <f t="shared" ref="D204:AF204" si="101">D200/D198</f>
        <v>0.86115366949626537</v>
      </c>
      <c r="E204" s="33">
        <f t="shared" si="101"/>
        <v>0.86115366949626537</v>
      </c>
      <c r="F204" s="33">
        <f t="shared" si="101"/>
        <v>0.86115366949626537</v>
      </c>
      <c r="G204" s="33">
        <f t="shared" si="101"/>
        <v>0.86115366949626537</v>
      </c>
      <c r="H204" s="33">
        <f t="shared" si="101"/>
        <v>0.86115366949626537</v>
      </c>
      <c r="I204" s="33">
        <f t="shared" si="101"/>
        <v>0.86115366949626537</v>
      </c>
      <c r="J204" s="33">
        <f t="shared" si="101"/>
        <v>0.86115366949626537</v>
      </c>
      <c r="K204" s="33">
        <f t="shared" si="101"/>
        <v>0.86115366949626537</v>
      </c>
      <c r="L204" s="33">
        <f t="shared" si="101"/>
        <v>0.86115366949626537</v>
      </c>
      <c r="M204" s="33">
        <f t="shared" si="101"/>
        <v>0.86115366949626537</v>
      </c>
      <c r="N204" s="33">
        <f t="shared" si="101"/>
        <v>0.86115366949626537</v>
      </c>
      <c r="O204" s="33">
        <f t="shared" si="101"/>
        <v>0.86115366949626537</v>
      </c>
      <c r="P204" s="33">
        <f t="shared" si="101"/>
        <v>0.86115366949626537</v>
      </c>
      <c r="Q204" s="33">
        <f t="shared" si="101"/>
        <v>0.86115366949626537</v>
      </c>
      <c r="R204" s="33">
        <f t="shared" si="101"/>
        <v>0.86115366949626537</v>
      </c>
      <c r="S204" s="33">
        <f t="shared" si="101"/>
        <v>0.86115366949626537</v>
      </c>
      <c r="T204" s="33">
        <f t="shared" si="101"/>
        <v>0.86115366949626537</v>
      </c>
      <c r="U204" s="33">
        <f t="shared" si="101"/>
        <v>0.86115366949626537</v>
      </c>
      <c r="V204" s="33">
        <f t="shared" si="101"/>
        <v>0.86115366949626537</v>
      </c>
      <c r="W204" s="33">
        <f t="shared" si="101"/>
        <v>0.86115366949626537</v>
      </c>
      <c r="X204" s="33">
        <f t="shared" si="101"/>
        <v>0.86115366949626537</v>
      </c>
      <c r="Y204" s="33">
        <f t="shared" si="101"/>
        <v>0.86115366949626537</v>
      </c>
      <c r="Z204" s="33">
        <f t="shared" si="101"/>
        <v>0.86115366949626537</v>
      </c>
      <c r="AA204" s="33">
        <f t="shared" si="101"/>
        <v>0.86115366949626537</v>
      </c>
      <c r="AB204" s="33">
        <f t="shared" si="101"/>
        <v>0.86115366949626537</v>
      </c>
      <c r="AC204" s="33">
        <f t="shared" si="101"/>
        <v>0.86115366949626537</v>
      </c>
      <c r="AD204" s="33">
        <f t="shared" si="101"/>
        <v>0.86115366949626537</v>
      </c>
      <c r="AE204" s="33">
        <f t="shared" si="101"/>
        <v>0.86115366949626537</v>
      </c>
      <c r="AF204" s="33">
        <f t="shared" si="101"/>
        <v>0.86115366949626537</v>
      </c>
      <c r="AG204" s="33"/>
    </row>
    <row r="205" spans="1:33" s="25" customFormat="1" x14ac:dyDescent="0.2">
      <c r="A205" s="6" t="s">
        <v>385</v>
      </c>
      <c r="B205" s="63"/>
      <c r="C205" s="53">
        <f>SQRT(C201^2+C199^2-(2*C209*C199*C201))</f>
        <v>0.11942711587855122</v>
      </c>
      <c r="D205" s="53">
        <f t="shared" ref="D205:AF205" si="102">SQRT(D201^2+D199^2-(2*D209*D199*D201))</f>
        <v>0.11942711587855122</v>
      </c>
      <c r="E205" s="53">
        <f t="shared" si="102"/>
        <v>0.11942711587855122</v>
      </c>
      <c r="F205" s="53">
        <f t="shared" si="102"/>
        <v>0.11942711587855122</v>
      </c>
      <c r="G205" s="53">
        <f t="shared" si="102"/>
        <v>0.11942711587855122</v>
      </c>
      <c r="H205" s="53">
        <f t="shared" si="102"/>
        <v>0.11942711587855122</v>
      </c>
      <c r="I205" s="53">
        <f t="shared" si="102"/>
        <v>0.11942711587855122</v>
      </c>
      <c r="J205" s="53">
        <f t="shared" si="102"/>
        <v>0.11942711587855122</v>
      </c>
      <c r="K205" s="53">
        <f t="shared" si="102"/>
        <v>0.11942711587855122</v>
      </c>
      <c r="L205" s="53">
        <f t="shared" si="102"/>
        <v>0.11942711587855122</v>
      </c>
      <c r="M205" s="53">
        <f t="shared" si="102"/>
        <v>0.11942711587855122</v>
      </c>
      <c r="N205" s="53">
        <f t="shared" si="102"/>
        <v>0.11942711587855122</v>
      </c>
      <c r="O205" s="53">
        <f t="shared" si="102"/>
        <v>0.11942711587855122</v>
      </c>
      <c r="P205" s="53">
        <f t="shared" si="102"/>
        <v>0.11942711587855122</v>
      </c>
      <c r="Q205" s="53">
        <f t="shared" si="102"/>
        <v>0.11942711587855122</v>
      </c>
      <c r="R205" s="53">
        <f t="shared" si="102"/>
        <v>0.11942711587855122</v>
      </c>
      <c r="S205" s="53">
        <f t="shared" si="102"/>
        <v>0.11942711587855122</v>
      </c>
      <c r="T205" s="53">
        <f t="shared" si="102"/>
        <v>0.11942711587855122</v>
      </c>
      <c r="U205" s="53">
        <f t="shared" si="102"/>
        <v>0.11942711587855122</v>
      </c>
      <c r="V205" s="53">
        <f t="shared" si="102"/>
        <v>0.11942711587855122</v>
      </c>
      <c r="W205" s="53">
        <f t="shared" si="102"/>
        <v>0.11942711587855122</v>
      </c>
      <c r="X205" s="53">
        <f t="shared" si="102"/>
        <v>0.11942711587855122</v>
      </c>
      <c r="Y205" s="53">
        <f t="shared" si="102"/>
        <v>0.11942711587855122</v>
      </c>
      <c r="Z205" s="53">
        <f t="shared" si="102"/>
        <v>0.11942711587855122</v>
      </c>
      <c r="AA205" s="53">
        <f t="shared" si="102"/>
        <v>0.11942711587855122</v>
      </c>
      <c r="AB205" s="53">
        <f t="shared" si="102"/>
        <v>0.11942711587855122</v>
      </c>
      <c r="AC205" s="53">
        <f t="shared" si="102"/>
        <v>0.11942711587855122</v>
      </c>
      <c r="AD205" s="53">
        <f t="shared" si="102"/>
        <v>0.11942711587855122</v>
      </c>
      <c r="AE205" s="53">
        <f t="shared" si="102"/>
        <v>0.11942711587855122</v>
      </c>
      <c r="AF205" s="53">
        <f t="shared" si="102"/>
        <v>0.11942711587855122</v>
      </c>
      <c r="AG205" s="53"/>
    </row>
    <row r="206" spans="1:33" s="25" customFormat="1" x14ac:dyDescent="0.2">
      <c r="A206" s="5" t="s">
        <v>127</v>
      </c>
      <c r="B206" s="63"/>
      <c r="C206" s="83">
        <f>C202/C198</f>
        <v>2.0887872895899897</v>
      </c>
      <c r="D206" s="83">
        <f t="shared" ref="D206:AF206" si="103">D202/D198</f>
        <v>2.0887872895899897</v>
      </c>
      <c r="E206" s="83">
        <f t="shared" si="103"/>
        <v>2.0887872895899897</v>
      </c>
      <c r="F206" s="83">
        <f t="shared" si="103"/>
        <v>2.0887872895899897</v>
      </c>
      <c r="G206" s="83">
        <f t="shared" si="103"/>
        <v>2.0887872895899897</v>
      </c>
      <c r="H206" s="83">
        <f t="shared" si="103"/>
        <v>2.0887872895899897</v>
      </c>
      <c r="I206" s="83">
        <f t="shared" si="103"/>
        <v>2.0887872895899897</v>
      </c>
      <c r="J206" s="83">
        <f t="shared" si="103"/>
        <v>2.0887872895899897</v>
      </c>
      <c r="K206" s="83">
        <f t="shared" si="103"/>
        <v>2.0887872895899897</v>
      </c>
      <c r="L206" s="83">
        <f t="shared" si="103"/>
        <v>2.0887872895899897</v>
      </c>
      <c r="M206" s="83">
        <f t="shared" si="103"/>
        <v>2.0887872895899897</v>
      </c>
      <c r="N206" s="83">
        <f t="shared" si="103"/>
        <v>2.0887872895899897</v>
      </c>
      <c r="O206" s="83">
        <f t="shared" si="103"/>
        <v>2.0887872895899897</v>
      </c>
      <c r="P206" s="83">
        <f t="shared" si="103"/>
        <v>2.0887872895899897</v>
      </c>
      <c r="Q206" s="83">
        <f t="shared" si="103"/>
        <v>2.0887872895899897</v>
      </c>
      <c r="R206" s="83">
        <f t="shared" si="103"/>
        <v>2.0887872895899897</v>
      </c>
      <c r="S206" s="83">
        <f t="shared" si="103"/>
        <v>2.0887872895899897</v>
      </c>
      <c r="T206" s="83">
        <f t="shared" si="103"/>
        <v>2.0887872895899897</v>
      </c>
      <c r="U206" s="83">
        <f t="shared" si="103"/>
        <v>2.0887872895899897</v>
      </c>
      <c r="V206" s="83">
        <f t="shared" si="103"/>
        <v>2.0887872895899897</v>
      </c>
      <c r="W206" s="83">
        <f t="shared" si="103"/>
        <v>2.0887872895899897</v>
      </c>
      <c r="X206" s="83">
        <f t="shared" si="103"/>
        <v>2.0887872895899897</v>
      </c>
      <c r="Y206" s="83">
        <f t="shared" si="103"/>
        <v>2.0887872895899897</v>
      </c>
      <c r="Z206" s="83">
        <f t="shared" si="103"/>
        <v>2.0887872895899897</v>
      </c>
      <c r="AA206" s="83">
        <f t="shared" si="103"/>
        <v>2.0887872895899897</v>
      </c>
      <c r="AB206" s="83">
        <f t="shared" si="103"/>
        <v>2.0887872895899897</v>
      </c>
      <c r="AC206" s="83">
        <f t="shared" si="103"/>
        <v>2.0887872895899897</v>
      </c>
      <c r="AD206" s="83">
        <f t="shared" si="103"/>
        <v>2.0887872895899897</v>
      </c>
      <c r="AE206" s="83">
        <f t="shared" si="103"/>
        <v>2.0887872895899897</v>
      </c>
      <c r="AF206" s="83">
        <f t="shared" si="103"/>
        <v>2.0887872895899897</v>
      </c>
      <c r="AG206" s="83"/>
    </row>
    <row r="207" spans="1:33" s="25" customFormat="1" x14ac:dyDescent="0.2">
      <c r="A207" s="6" t="s">
        <v>126</v>
      </c>
      <c r="B207" s="63"/>
      <c r="C207" s="53">
        <f>SQRT(C203^2+C199^2*-(2*C209*C203*C199))</f>
        <v>0.34271266804617118</v>
      </c>
      <c r="D207" s="53">
        <f t="shared" ref="D207:AF207" si="104">SQRT(D203^2+D199^2*-(2*D209*D203*D199))</f>
        <v>0.34271266804617118</v>
      </c>
      <c r="E207" s="53">
        <f t="shared" si="104"/>
        <v>0.34271266804617118</v>
      </c>
      <c r="F207" s="53">
        <f t="shared" si="104"/>
        <v>0.34271266804617118</v>
      </c>
      <c r="G207" s="53">
        <f t="shared" si="104"/>
        <v>0.34271266804617118</v>
      </c>
      <c r="H207" s="53">
        <f t="shared" si="104"/>
        <v>0.34271266804617118</v>
      </c>
      <c r="I207" s="53">
        <f t="shared" si="104"/>
        <v>0.34271266804617118</v>
      </c>
      <c r="J207" s="53">
        <f t="shared" si="104"/>
        <v>0.34271266804617118</v>
      </c>
      <c r="K207" s="53">
        <f t="shared" si="104"/>
        <v>0.34271266804617118</v>
      </c>
      <c r="L207" s="53">
        <f t="shared" si="104"/>
        <v>0.34271266804617118</v>
      </c>
      <c r="M207" s="53">
        <f t="shared" si="104"/>
        <v>0.34271266804617118</v>
      </c>
      <c r="N207" s="53">
        <f t="shared" si="104"/>
        <v>0.34271266804617118</v>
      </c>
      <c r="O207" s="53">
        <f t="shared" si="104"/>
        <v>0.34271266804617118</v>
      </c>
      <c r="P207" s="53">
        <f t="shared" si="104"/>
        <v>0.34271266804617118</v>
      </c>
      <c r="Q207" s="53">
        <f t="shared" si="104"/>
        <v>0.34271266804617118</v>
      </c>
      <c r="R207" s="53">
        <f t="shared" si="104"/>
        <v>0.34271266804617118</v>
      </c>
      <c r="S207" s="53">
        <f t="shared" si="104"/>
        <v>0.34271266804617118</v>
      </c>
      <c r="T207" s="53">
        <f t="shared" si="104"/>
        <v>0.34271266804617118</v>
      </c>
      <c r="U207" s="53">
        <f t="shared" si="104"/>
        <v>0.34271266804617118</v>
      </c>
      <c r="V207" s="53">
        <f t="shared" si="104"/>
        <v>0.34271266804617118</v>
      </c>
      <c r="W207" s="53">
        <f t="shared" si="104"/>
        <v>0.34271266804617118</v>
      </c>
      <c r="X207" s="53">
        <f t="shared" si="104"/>
        <v>0.34271266804617118</v>
      </c>
      <c r="Y207" s="53">
        <f t="shared" si="104"/>
        <v>0.34271266804617118</v>
      </c>
      <c r="Z207" s="53">
        <f t="shared" si="104"/>
        <v>0.34271266804617118</v>
      </c>
      <c r="AA207" s="53">
        <f t="shared" si="104"/>
        <v>0.34271266804617118</v>
      </c>
      <c r="AB207" s="53">
        <f t="shared" si="104"/>
        <v>0.34271266804617118</v>
      </c>
      <c r="AC207" s="53">
        <f t="shared" si="104"/>
        <v>0.34271266804617118</v>
      </c>
      <c r="AD207" s="53">
        <f t="shared" si="104"/>
        <v>0.34271266804617118</v>
      </c>
      <c r="AE207" s="53">
        <f t="shared" si="104"/>
        <v>0.34271266804617118</v>
      </c>
      <c r="AF207" s="53">
        <f t="shared" si="104"/>
        <v>0.34271266804617118</v>
      </c>
      <c r="AG207" s="53"/>
    </row>
    <row r="208" spans="1:33" x14ac:dyDescent="0.2">
      <c r="A208" s="5" t="s">
        <v>210</v>
      </c>
      <c r="B208" s="63"/>
      <c r="C208" s="34">
        <f>(203.973037+205.974455*C198+206.975885*C200+207.976641*C202)/(1+SUM(C198,C200,C202))</f>
        <v>207.20620141433761</v>
      </c>
      <c r="D208" s="34">
        <f t="shared" ref="D208:AF208" si="105">(203.973037+205.974455*D198+206.975885*D200+207.976641*D202)/(1+SUM(D198,D200,D202))</f>
        <v>207.20620141433761</v>
      </c>
      <c r="E208" s="34">
        <f t="shared" si="105"/>
        <v>207.20620141433761</v>
      </c>
      <c r="F208" s="34">
        <f t="shared" si="105"/>
        <v>207.20620141433761</v>
      </c>
      <c r="G208" s="34">
        <f t="shared" si="105"/>
        <v>207.20620141433761</v>
      </c>
      <c r="H208" s="34">
        <f t="shared" si="105"/>
        <v>207.20620141433761</v>
      </c>
      <c r="I208" s="34">
        <f t="shared" si="105"/>
        <v>207.20620141433761</v>
      </c>
      <c r="J208" s="34">
        <f t="shared" si="105"/>
        <v>207.20620141433761</v>
      </c>
      <c r="K208" s="34">
        <f t="shared" si="105"/>
        <v>207.20620141433761</v>
      </c>
      <c r="L208" s="34">
        <f t="shared" si="105"/>
        <v>207.20620141433761</v>
      </c>
      <c r="M208" s="34">
        <f t="shared" si="105"/>
        <v>207.20620141433761</v>
      </c>
      <c r="N208" s="34">
        <f t="shared" si="105"/>
        <v>207.20620141433761</v>
      </c>
      <c r="O208" s="34">
        <f t="shared" si="105"/>
        <v>207.20620141433761</v>
      </c>
      <c r="P208" s="34">
        <f t="shared" si="105"/>
        <v>207.20620141433761</v>
      </c>
      <c r="Q208" s="34">
        <f t="shared" si="105"/>
        <v>207.20620141433761</v>
      </c>
      <c r="R208" s="34">
        <f t="shared" si="105"/>
        <v>207.20620141433761</v>
      </c>
      <c r="S208" s="34">
        <f t="shared" si="105"/>
        <v>207.20620141433761</v>
      </c>
      <c r="T208" s="34">
        <f t="shared" si="105"/>
        <v>207.20620141433761</v>
      </c>
      <c r="U208" s="34">
        <f t="shared" si="105"/>
        <v>207.20620141433761</v>
      </c>
      <c r="V208" s="34">
        <f t="shared" si="105"/>
        <v>207.20620141433761</v>
      </c>
      <c r="W208" s="34">
        <f t="shared" si="105"/>
        <v>207.20620141433761</v>
      </c>
      <c r="X208" s="34">
        <f t="shared" si="105"/>
        <v>207.20620141433761</v>
      </c>
      <c r="Y208" s="34">
        <f t="shared" si="105"/>
        <v>207.20620141433761</v>
      </c>
      <c r="Z208" s="34">
        <f t="shared" si="105"/>
        <v>207.20620141433761</v>
      </c>
      <c r="AA208" s="34">
        <f t="shared" si="105"/>
        <v>207.20620141433761</v>
      </c>
      <c r="AB208" s="34">
        <f t="shared" si="105"/>
        <v>207.20620141433761</v>
      </c>
      <c r="AC208" s="34">
        <f t="shared" si="105"/>
        <v>207.20620141433761</v>
      </c>
      <c r="AD208" s="34">
        <f t="shared" si="105"/>
        <v>207.20620141433761</v>
      </c>
      <c r="AE208" s="34">
        <f t="shared" si="105"/>
        <v>207.20620141433761</v>
      </c>
      <c r="AF208" s="34">
        <f t="shared" si="105"/>
        <v>207.20620141433761</v>
      </c>
      <c r="AG208" s="34"/>
    </row>
    <row r="209" spans="1:33" x14ac:dyDescent="0.2">
      <c r="A209" s="529" t="s">
        <v>733</v>
      </c>
      <c r="B209" s="232"/>
      <c r="C209" s="753">
        <f>'Raw Data Input'!$AM69</f>
        <v>0.99</v>
      </c>
      <c r="D209" s="753">
        <f>'Raw Data Input'!$AM69</f>
        <v>0.99</v>
      </c>
      <c r="E209" s="753">
        <f>'Raw Data Input'!$AM69</f>
        <v>0.99</v>
      </c>
      <c r="F209" s="753">
        <f>'Raw Data Input'!$AM69</f>
        <v>0.99</v>
      </c>
      <c r="G209" s="753">
        <f>'Raw Data Input'!$AM69</f>
        <v>0.99</v>
      </c>
      <c r="H209" s="753">
        <f>'Raw Data Input'!$AM69</f>
        <v>0.99</v>
      </c>
      <c r="I209" s="753">
        <f>'Raw Data Input'!$AM69</f>
        <v>0.99</v>
      </c>
      <c r="J209" s="753">
        <f>'Raw Data Input'!$AM69</f>
        <v>0.99</v>
      </c>
      <c r="K209" s="753">
        <f>'Raw Data Input'!$AM69</f>
        <v>0.99</v>
      </c>
      <c r="L209" s="753">
        <f>'Raw Data Input'!$AM69</f>
        <v>0.99</v>
      </c>
      <c r="M209" s="753">
        <f>'Raw Data Input'!$AM69</f>
        <v>0.99</v>
      </c>
      <c r="N209" s="753">
        <f>'Raw Data Input'!$AM69</f>
        <v>0.99</v>
      </c>
      <c r="O209" s="753">
        <f>'Raw Data Input'!$AM69</f>
        <v>0.99</v>
      </c>
      <c r="P209" s="753">
        <f>'Raw Data Input'!$AM69</f>
        <v>0.99</v>
      </c>
      <c r="Q209" s="753">
        <f>'Raw Data Input'!$AM69</f>
        <v>0.99</v>
      </c>
      <c r="R209" s="753">
        <f>'Raw Data Input'!$AM69</f>
        <v>0.99</v>
      </c>
      <c r="S209" s="753">
        <f>'Raw Data Input'!$AM69</f>
        <v>0.99</v>
      </c>
      <c r="T209" s="753">
        <f>'Raw Data Input'!$AM69</f>
        <v>0.99</v>
      </c>
      <c r="U209" s="753">
        <f>'Raw Data Input'!$AM69</f>
        <v>0.99</v>
      </c>
      <c r="V209" s="753">
        <f>'Raw Data Input'!$AM69</f>
        <v>0.99</v>
      </c>
      <c r="W209" s="753">
        <f>'Raw Data Input'!$AM69</f>
        <v>0.99</v>
      </c>
      <c r="X209" s="753">
        <f>'Raw Data Input'!$AM69</f>
        <v>0.99</v>
      </c>
      <c r="Y209" s="753">
        <f>'Raw Data Input'!$AM69</f>
        <v>0.99</v>
      </c>
      <c r="Z209" s="753">
        <f>'Raw Data Input'!$AM69</f>
        <v>0.99</v>
      </c>
      <c r="AA209" s="753">
        <f>'Raw Data Input'!$AM69</f>
        <v>0.99</v>
      </c>
      <c r="AB209" s="753">
        <f>'Raw Data Input'!$AM69</f>
        <v>0.99</v>
      </c>
      <c r="AC209" s="753">
        <f>'Raw Data Input'!$AM69</f>
        <v>0.99</v>
      </c>
      <c r="AD209" s="753">
        <f>'Raw Data Input'!$AM69</f>
        <v>0.99</v>
      </c>
      <c r="AE209" s="753">
        <f>'Raw Data Input'!$AM69</f>
        <v>0.99</v>
      </c>
      <c r="AF209" s="753">
        <f>'Raw Data Input'!$AM69</f>
        <v>0.99</v>
      </c>
      <c r="AG209" s="35"/>
    </row>
    <row r="210" spans="1:33" ht="18" x14ac:dyDescent="0.2">
      <c r="A210" s="1" t="s">
        <v>462</v>
      </c>
    </row>
    <row r="211" spans="1:33" s="262" customFormat="1" x14ac:dyDescent="0.2">
      <c r="A211" s="198" t="s">
        <v>211</v>
      </c>
      <c r="B211" s="222"/>
      <c r="C211" s="266">
        <f>'Raw Data Input'!$AM62</f>
        <v>0.5</v>
      </c>
      <c r="D211" s="266">
        <f>'Raw Data Input'!$AM62</f>
        <v>0.5</v>
      </c>
      <c r="E211" s="266">
        <f>'Raw Data Input'!$AM62</f>
        <v>0.5</v>
      </c>
      <c r="F211" s="266">
        <f>'Raw Data Input'!$AM62</f>
        <v>0.5</v>
      </c>
      <c r="G211" s="266">
        <f>'Raw Data Input'!$AM62</f>
        <v>0.5</v>
      </c>
      <c r="H211" s="266">
        <f>'Raw Data Input'!$AM62</f>
        <v>0.5</v>
      </c>
      <c r="I211" s="266">
        <f>'Raw Data Input'!$AM62</f>
        <v>0.5</v>
      </c>
      <c r="J211" s="266">
        <f>'Raw Data Input'!$AM62</f>
        <v>0.5</v>
      </c>
      <c r="K211" s="266">
        <f>'Raw Data Input'!$AM62</f>
        <v>0.5</v>
      </c>
      <c r="L211" s="266">
        <f>'Raw Data Input'!$AM62</f>
        <v>0.5</v>
      </c>
      <c r="M211" s="266">
        <f>'Raw Data Input'!$AM62</f>
        <v>0.5</v>
      </c>
      <c r="N211" s="266">
        <f>'Raw Data Input'!$AM62</f>
        <v>0.5</v>
      </c>
      <c r="O211" s="266">
        <f>'Raw Data Input'!$AM62</f>
        <v>0.5</v>
      </c>
      <c r="P211" s="266">
        <f>'Raw Data Input'!$AM62</f>
        <v>0.5</v>
      </c>
      <c r="Q211" s="266">
        <f>'Raw Data Input'!$AM62</f>
        <v>0.5</v>
      </c>
      <c r="R211" s="266">
        <f>'Raw Data Input'!$AM62</f>
        <v>0.5</v>
      </c>
      <c r="S211" s="266">
        <f>'Raw Data Input'!$AM62</f>
        <v>0.5</v>
      </c>
      <c r="T211" s="266">
        <f>'Raw Data Input'!$AM62</f>
        <v>0.5</v>
      </c>
      <c r="U211" s="266">
        <f>'Raw Data Input'!$AM62</f>
        <v>0.5</v>
      </c>
      <c r="V211" s="266">
        <f>'Raw Data Input'!$AM62</f>
        <v>0.5</v>
      </c>
      <c r="W211" s="266">
        <f>'Raw Data Input'!$AM62</f>
        <v>0.5</v>
      </c>
      <c r="X211" s="266">
        <f>'Raw Data Input'!$AM62</f>
        <v>0.5</v>
      </c>
      <c r="Y211" s="266">
        <f>'Raw Data Input'!$AM62</f>
        <v>0.5</v>
      </c>
      <c r="Z211" s="266">
        <f>'Raw Data Input'!$AM62</f>
        <v>0.5</v>
      </c>
      <c r="AA211" s="266">
        <f>'Raw Data Input'!$AM62</f>
        <v>0.5</v>
      </c>
      <c r="AB211" s="266">
        <f>'Raw Data Input'!$AM62</f>
        <v>0.5</v>
      </c>
      <c r="AC211" s="266">
        <f>'Raw Data Input'!$AM62</f>
        <v>0.5</v>
      </c>
      <c r="AD211" s="266">
        <f>'Raw Data Input'!$AM62</f>
        <v>0.5</v>
      </c>
      <c r="AE211" s="266">
        <f>'Raw Data Input'!$AM62</f>
        <v>0.5</v>
      </c>
      <c r="AF211" s="266">
        <f>'Raw Data Input'!$AM62</f>
        <v>0.5</v>
      </c>
      <c r="AG211" s="266"/>
    </row>
    <row r="212" spans="1:33" s="262" customFormat="1" x14ac:dyDescent="0.2">
      <c r="A212" s="44" t="s">
        <v>385</v>
      </c>
      <c r="B212" s="232"/>
      <c r="C212" s="266">
        <f>'Raw Data Input'!$AN62</f>
        <v>25</v>
      </c>
      <c r="D212" s="266">
        <f>'Raw Data Input'!$AN62</f>
        <v>25</v>
      </c>
      <c r="E212" s="266">
        <f>'Raw Data Input'!$AN62</f>
        <v>25</v>
      </c>
      <c r="F212" s="266">
        <f>'Raw Data Input'!$AN62</f>
        <v>25</v>
      </c>
      <c r="G212" s="266">
        <f>'Raw Data Input'!$AN62</f>
        <v>25</v>
      </c>
      <c r="H212" s="266">
        <f>'Raw Data Input'!$AN62</f>
        <v>25</v>
      </c>
      <c r="I212" s="266">
        <f>'Raw Data Input'!$AN62</f>
        <v>25</v>
      </c>
      <c r="J212" s="266">
        <f>'Raw Data Input'!$AN62</f>
        <v>25</v>
      </c>
      <c r="K212" s="266">
        <f>'Raw Data Input'!$AN62</f>
        <v>25</v>
      </c>
      <c r="L212" s="266">
        <f>'Raw Data Input'!$AN62</f>
        <v>25</v>
      </c>
      <c r="M212" s="266">
        <f>'Raw Data Input'!$AN62</f>
        <v>25</v>
      </c>
      <c r="N212" s="266">
        <f>'Raw Data Input'!$AN62</f>
        <v>25</v>
      </c>
      <c r="O212" s="266">
        <f>'Raw Data Input'!$AN62</f>
        <v>25</v>
      </c>
      <c r="P212" s="266">
        <f>'Raw Data Input'!$AN62</f>
        <v>25</v>
      </c>
      <c r="Q212" s="266">
        <f>'Raw Data Input'!$AN62</f>
        <v>25</v>
      </c>
      <c r="R212" s="266">
        <f>'Raw Data Input'!$AN62</f>
        <v>25</v>
      </c>
      <c r="S212" s="266">
        <f>'Raw Data Input'!$AN62</f>
        <v>25</v>
      </c>
      <c r="T212" s="266">
        <f>'Raw Data Input'!$AN62</f>
        <v>25</v>
      </c>
      <c r="U212" s="266">
        <f>'Raw Data Input'!$AN62</f>
        <v>25</v>
      </c>
      <c r="V212" s="266">
        <f>'Raw Data Input'!$AN62</f>
        <v>25</v>
      </c>
      <c r="W212" s="266">
        <f>'Raw Data Input'!$AN62</f>
        <v>25</v>
      </c>
      <c r="X212" s="266">
        <f>'Raw Data Input'!$AN62</f>
        <v>25</v>
      </c>
      <c r="Y212" s="266">
        <f>'Raw Data Input'!$AN62</f>
        <v>25</v>
      </c>
      <c r="Z212" s="266">
        <f>'Raw Data Input'!$AN62</f>
        <v>25</v>
      </c>
      <c r="AA212" s="266">
        <f>'Raw Data Input'!$AN62</f>
        <v>25</v>
      </c>
      <c r="AB212" s="266">
        <f>'Raw Data Input'!$AN62</f>
        <v>25</v>
      </c>
      <c r="AC212" s="266">
        <f>'Raw Data Input'!$AN62</f>
        <v>25</v>
      </c>
      <c r="AD212" s="266">
        <f>'Raw Data Input'!$AN62</f>
        <v>25</v>
      </c>
      <c r="AE212" s="266">
        <f>'Raw Data Input'!$AN62</f>
        <v>25</v>
      </c>
      <c r="AF212" s="266">
        <f>'Raw Data Input'!$AN62</f>
        <v>25</v>
      </c>
      <c r="AG212" s="266"/>
    </row>
    <row r="213" spans="1:33" s="53" customFormat="1" x14ac:dyDescent="0.2">
      <c r="A213" s="213" t="s">
        <v>212</v>
      </c>
      <c r="B213" s="63"/>
      <c r="C213" s="53">
        <f>((C229+C230+C231+C232)*C208+(C233+C234+C235+C236)*C195)*1000000000000</f>
        <v>5.9430559651510286</v>
      </c>
      <c r="D213" s="53">
        <f t="shared" ref="D213:AF213" si="106">((D229+D230+D231+D232)*D208+(D233+D234+D235+D236)*D195)*1000000000000</f>
        <v>4.1966562749250818</v>
      </c>
      <c r="E213" s="53">
        <f t="shared" si="106"/>
        <v>6.4921129439243863</v>
      </c>
      <c r="F213" s="53">
        <f t="shared" si="106"/>
        <v>20.207309093087229</v>
      </c>
      <c r="G213" s="53">
        <f t="shared" si="106"/>
        <v>18.136688609964917</v>
      </c>
      <c r="H213" s="53">
        <f t="shared" si="106"/>
        <v>8.7593333350850884</v>
      </c>
      <c r="I213" s="53">
        <f t="shared" si="106"/>
        <v>7.0919969989596581</v>
      </c>
      <c r="J213" s="53">
        <f t="shared" si="106"/>
        <v>7.0077203374876005</v>
      </c>
      <c r="K213" s="53">
        <f t="shared" si="106"/>
        <v>0.33519948830098384</v>
      </c>
      <c r="L213" s="53">
        <f t="shared" si="106"/>
        <v>0.40693719101173476</v>
      </c>
      <c r="M213" s="53">
        <f t="shared" si="106"/>
        <v>0.39899135325685264</v>
      </c>
      <c r="N213" s="53">
        <f t="shared" si="106"/>
        <v>0.46867826013808833</v>
      </c>
      <c r="O213" s="53">
        <f t="shared" si="106"/>
        <v>0.34244614430345494</v>
      </c>
      <c r="P213" s="53">
        <f t="shared" si="106"/>
        <v>0.32235955776182756</v>
      </c>
      <c r="Q213" s="53">
        <f t="shared" si="106"/>
        <v>0.24999595425375265</v>
      </c>
      <c r="R213" s="53">
        <f t="shared" si="106"/>
        <v>0.48245788788863092</v>
      </c>
      <c r="S213" s="53">
        <f t="shared" si="106"/>
        <v>0.51042589903097413</v>
      </c>
      <c r="T213" s="53">
        <f t="shared" si="106"/>
        <v>0.60180655993823406</v>
      </c>
      <c r="U213" s="53">
        <f t="shared" si="106"/>
        <v>0.63796607344215661</v>
      </c>
      <c r="V213" s="53">
        <f t="shared" si="106"/>
        <v>0.33824133982032467</v>
      </c>
      <c r="W213" s="53">
        <f t="shared" si="106"/>
        <v>0.45090739253932927</v>
      </c>
      <c r="X213" s="53">
        <f t="shared" si="106"/>
        <v>0.43137192874106972</v>
      </c>
      <c r="Y213" s="53">
        <f t="shared" si="106"/>
        <v>0.56333433580267833</v>
      </c>
      <c r="Z213" s="53">
        <f t="shared" si="106"/>
        <v>0.5111954604225678</v>
      </c>
      <c r="AA213" s="53">
        <f t="shared" si="106"/>
        <v>1.4145959942277735</v>
      </c>
      <c r="AB213" s="53">
        <f t="shared" si="106"/>
        <v>1.252370842396731</v>
      </c>
      <c r="AC213" s="53">
        <f t="shared" si="106"/>
        <v>0.71784940001906239</v>
      </c>
      <c r="AD213" s="53">
        <f t="shared" si="106"/>
        <v>3.2413582392707743</v>
      </c>
      <c r="AE213" s="53">
        <f t="shared" si="106"/>
        <v>2.9470107173504831</v>
      </c>
      <c r="AF213" s="53">
        <f t="shared" si="106"/>
        <v>4.6565007315762585</v>
      </c>
    </row>
    <row r="214" spans="1:33" x14ac:dyDescent="0.2">
      <c r="A214" s="44"/>
      <c r="B214" s="232"/>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row>
    <row r="215" spans="1:33" ht="18" x14ac:dyDescent="0.2">
      <c r="A215" s="1" t="s">
        <v>461</v>
      </c>
    </row>
    <row r="216" spans="1:33" x14ac:dyDescent="0.2">
      <c r="A216" s="198" t="s">
        <v>478</v>
      </c>
      <c r="B216" s="63"/>
      <c r="C216" s="34">
        <f>(238.0507882*0.992747+235.0439299*0.0072527)</f>
        <v>238.02890894357114</v>
      </c>
      <c r="D216" s="34">
        <f t="shared" ref="D216:AF216" si="107">(238.0507882*0.992747+235.0439299*0.0072527)</f>
        <v>238.02890894357114</v>
      </c>
      <c r="E216" s="34">
        <f t="shared" si="107"/>
        <v>238.02890894357114</v>
      </c>
      <c r="F216" s="34">
        <f t="shared" si="107"/>
        <v>238.02890894357114</v>
      </c>
      <c r="G216" s="34">
        <f t="shared" si="107"/>
        <v>238.02890894357114</v>
      </c>
      <c r="H216" s="34">
        <f t="shared" si="107"/>
        <v>238.02890894357114</v>
      </c>
      <c r="I216" s="34">
        <f t="shared" si="107"/>
        <v>238.02890894357114</v>
      </c>
      <c r="J216" s="34">
        <f t="shared" si="107"/>
        <v>238.02890894357114</v>
      </c>
      <c r="K216" s="34">
        <f t="shared" si="107"/>
        <v>238.02890894357114</v>
      </c>
      <c r="L216" s="34">
        <f t="shared" si="107"/>
        <v>238.02890894357114</v>
      </c>
      <c r="M216" s="34">
        <f t="shared" si="107"/>
        <v>238.02890894357114</v>
      </c>
      <c r="N216" s="34">
        <f t="shared" si="107"/>
        <v>238.02890894357114</v>
      </c>
      <c r="O216" s="34">
        <f t="shared" si="107"/>
        <v>238.02890894357114</v>
      </c>
      <c r="P216" s="34">
        <f t="shared" si="107"/>
        <v>238.02890894357114</v>
      </c>
      <c r="Q216" s="34">
        <f t="shared" si="107"/>
        <v>238.02890894357114</v>
      </c>
      <c r="R216" s="34">
        <f t="shared" si="107"/>
        <v>238.02890894357114</v>
      </c>
      <c r="S216" s="34">
        <f t="shared" si="107"/>
        <v>238.02890894357114</v>
      </c>
      <c r="T216" s="34">
        <f t="shared" si="107"/>
        <v>238.02890894357114</v>
      </c>
      <c r="U216" s="34">
        <f t="shared" si="107"/>
        <v>238.02890894357114</v>
      </c>
      <c r="V216" s="34">
        <f t="shared" si="107"/>
        <v>238.02890894357114</v>
      </c>
      <c r="W216" s="34">
        <f t="shared" si="107"/>
        <v>238.02890894357114</v>
      </c>
      <c r="X216" s="34">
        <f t="shared" si="107"/>
        <v>238.02890894357114</v>
      </c>
      <c r="Y216" s="34">
        <f t="shared" si="107"/>
        <v>238.02890894357114</v>
      </c>
      <c r="Z216" s="34">
        <f t="shared" si="107"/>
        <v>238.02890894357114</v>
      </c>
      <c r="AA216" s="34">
        <f t="shared" si="107"/>
        <v>238.02890894357114</v>
      </c>
      <c r="AB216" s="34">
        <f t="shared" si="107"/>
        <v>238.02890894357114</v>
      </c>
      <c r="AC216" s="34">
        <f t="shared" si="107"/>
        <v>238.02890894357114</v>
      </c>
      <c r="AD216" s="34">
        <f t="shared" si="107"/>
        <v>238.02890894357114</v>
      </c>
      <c r="AE216" s="34">
        <f t="shared" si="107"/>
        <v>238.02890894357114</v>
      </c>
      <c r="AF216" s="34">
        <f t="shared" si="107"/>
        <v>238.02890894357114</v>
      </c>
      <c r="AG216" s="34"/>
    </row>
    <row r="217" spans="1:33" s="262" customFormat="1" x14ac:dyDescent="0.2">
      <c r="A217" s="198" t="s">
        <v>213</v>
      </c>
      <c r="B217" s="195"/>
      <c r="C217" s="263">
        <f>'Raw Data Input'!$AM63</f>
        <v>7.4999999999999997E-2</v>
      </c>
      <c r="D217" s="263">
        <f>'Raw Data Input'!$AM63</f>
        <v>7.4999999999999997E-2</v>
      </c>
      <c r="E217" s="263">
        <f>'Raw Data Input'!$AM63</f>
        <v>7.4999999999999997E-2</v>
      </c>
      <c r="F217" s="263">
        <f>'Raw Data Input'!$AM63</f>
        <v>7.4999999999999997E-2</v>
      </c>
      <c r="G217" s="263">
        <f>'Raw Data Input'!$AM63</f>
        <v>7.4999999999999997E-2</v>
      </c>
      <c r="H217" s="263">
        <f>'Raw Data Input'!$AM63</f>
        <v>7.4999999999999997E-2</v>
      </c>
      <c r="I217" s="263">
        <f>'Raw Data Input'!$AM63</f>
        <v>7.4999999999999997E-2</v>
      </c>
      <c r="J217" s="263">
        <f>'Raw Data Input'!$AM63</f>
        <v>7.4999999999999997E-2</v>
      </c>
      <c r="K217" s="263">
        <f>'Raw Data Input'!$AM63</f>
        <v>7.4999999999999997E-2</v>
      </c>
      <c r="L217" s="263">
        <f>'Raw Data Input'!$AM63</f>
        <v>7.4999999999999997E-2</v>
      </c>
      <c r="M217" s="263">
        <f>'Raw Data Input'!$AM63</f>
        <v>7.4999999999999997E-2</v>
      </c>
      <c r="N217" s="263">
        <f>'Raw Data Input'!$AM63</f>
        <v>7.4999999999999997E-2</v>
      </c>
      <c r="O217" s="263">
        <f>'Raw Data Input'!$AM63</f>
        <v>7.4999999999999997E-2</v>
      </c>
      <c r="P217" s="263">
        <f>'Raw Data Input'!$AM63</f>
        <v>7.4999999999999997E-2</v>
      </c>
      <c r="Q217" s="263">
        <f>'Raw Data Input'!$AM63</f>
        <v>7.4999999999999997E-2</v>
      </c>
      <c r="R217" s="263">
        <f>'Raw Data Input'!$AM63</f>
        <v>7.4999999999999997E-2</v>
      </c>
      <c r="S217" s="263">
        <f>'Raw Data Input'!$AM63</f>
        <v>7.4999999999999997E-2</v>
      </c>
      <c r="T217" s="263">
        <f>'Raw Data Input'!$AM63</f>
        <v>7.4999999999999997E-2</v>
      </c>
      <c r="U217" s="263">
        <f>'Raw Data Input'!$AM63</f>
        <v>7.4999999999999997E-2</v>
      </c>
      <c r="V217" s="263">
        <f>'Raw Data Input'!$AM63</f>
        <v>7.4999999999999997E-2</v>
      </c>
      <c r="W217" s="263">
        <f>'Raw Data Input'!$AM63</f>
        <v>7.4999999999999997E-2</v>
      </c>
      <c r="X217" s="263">
        <f>'Raw Data Input'!$AM63</f>
        <v>7.4999999999999997E-2</v>
      </c>
      <c r="Y217" s="263">
        <f>'Raw Data Input'!$AM63</f>
        <v>7.4999999999999997E-2</v>
      </c>
      <c r="Z217" s="263">
        <f>'Raw Data Input'!$AM63</f>
        <v>7.4999999999999997E-2</v>
      </c>
      <c r="AA217" s="263">
        <f>'Raw Data Input'!$AM63</f>
        <v>7.4999999999999997E-2</v>
      </c>
      <c r="AB217" s="263">
        <f>'Raw Data Input'!$AM63</f>
        <v>7.4999999999999997E-2</v>
      </c>
      <c r="AC217" s="263">
        <f>'Raw Data Input'!$AM63</f>
        <v>7.4999999999999997E-2</v>
      </c>
      <c r="AD217" s="263">
        <f>'Raw Data Input'!$AM63</f>
        <v>7.4999999999999997E-2</v>
      </c>
      <c r="AE217" s="263">
        <f>'Raw Data Input'!$AM63</f>
        <v>7.4999999999999997E-2</v>
      </c>
      <c r="AF217" s="263">
        <f>'Raw Data Input'!$AM63</f>
        <v>7.4999999999999997E-2</v>
      </c>
      <c r="AG217" s="263"/>
    </row>
    <row r="218" spans="1:33" s="262" customFormat="1" x14ac:dyDescent="0.2">
      <c r="A218" s="44" t="s">
        <v>385</v>
      </c>
      <c r="B218" s="232"/>
      <c r="C218" s="263">
        <f>'Raw Data Input'!$AN63</f>
        <v>25</v>
      </c>
      <c r="D218" s="263">
        <f>'Raw Data Input'!$AN63</f>
        <v>25</v>
      </c>
      <c r="E218" s="263">
        <f>'Raw Data Input'!$AN63</f>
        <v>25</v>
      </c>
      <c r="F218" s="263">
        <f>'Raw Data Input'!$AN63</f>
        <v>25</v>
      </c>
      <c r="G218" s="263">
        <f>'Raw Data Input'!$AN63</f>
        <v>25</v>
      </c>
      <c r="H218" s="263">
        <f>'Raw Data Input'!$AN63</f>
        <v>25</v>
      </c>
      <c r="I218" s="263">
        <f>'Raw Data Input'!$AN63</f>
        <v>25</v>
      </c>
      <c r="J218" s="263">
        <f>'Raw Data Input'!$AN63</f>
        <v>25</v>
      </c>
      <c r="K218" s="263">
        <f>'Raw Data Input'!$AN63</f>
        <v>25</v>
      </c>
      <c r="L218" s="263">
        <f>'Raw Data Input'!$AN63</f>
        <v>25</v>
      </c>
      <c r="M218" s="263">
        <f>'Raw Data Input'!$AN63</f>
        <v>25</v>
      </c>
      <c r="N218" s="263">
        <f>'Raw Data Input'!$AN63</f>
        <v>25</v>
      </c>
      <c r="O218" s="263">
        <f>'Raw Data Input'!$AN63</f>
        <v>25</v>
      </c>
      <c r="P218" s="263">
        <f>'Raw Data Input'!$AN63</f>
        <v>25</v>
      </c>
      <c r="Q218" s="263">
        <f>'Raw Data Input'!$AN63</f>
        <v>25</v>
      </c>
      <c r="R218" s="263">
        <f>'Raw Data Input'!$AN63</f>
        <v>25</v>
      </c>
      <c r="S218" s="263">
        <f>'Raw Data Input'!$AN63</f>
        <v>25</v>
      </c>
      <c r="T218" s="263">
        <f>'Raw Data Input'!$AN63</f>
        <v>25</v>
      </c>
      <c r="U218" s="263">
        <f>'Raw Data Input'!$AN63</f>
        <v>25</v>
      </c>
      <c r="V218" s="263">
        <f>'Raw Data Input'!$AN63</f>
        <v>25</v>
      </c>
      <c r="W218" s="263">
        <f>'Raw Data Input'!$AN63</f>
        <v>25</v>
      </c>
      <c r="X218" s="263">
        <f>'Raw Data Input'!$AN63</f>
        <v>25</v>
      </c>
      <c r="Y218" s="263">
        <f>'Raw Data Input'!$AN63</f>
        <v>25</v>
      </c>
      <c r="Z218" s="263">
        <f>'Raw Data Input'!$AN63</f>
        <v>25</v>
      </c>
      <c r="AA218" s="263">
        <f>'Raw Data Input'!$AN63</f>
        <v>25</v>
      </c>
      <c r="AB218" s="263">
        <f>'Raw Data Input'!$AN63</f>
        <v>25</v>
      </c>
      <c r="AC218" s="263">
        <f>'Raw Data Input'!$AN63</f>
        <v>25</v>
      </c>
      <c r="AD218" s="263">
        <f>'Raw Data Input'!$AN63</f>
        <v>25</v>
      </c>
      <c r="AE218" s="263">
        <f>'Raw Data Input'!$AN63</f>
        <v>25</v>
      </c>
      <c r="AF218" s="263">
        <f>'Raw Data Input'!$AN63</f>
        <v>25</v>
      </c>
      <c r="AG218" s="263"/>
    </row>
    <row r="219" spans="1:33" x14ac:dyDescent="0.2">
      <c r="A219" s="198" t="s">
        <v>214</v>
      </c>
      <c r="C219" s="16">
        <f>((C217*0.000000000001)/C216)*0.992747</f>
        <v>3.1280244626778125E-16</v>
      </c>
      <c r="D219" s="16">
        <f t="shared" ref="D219:AF219" si="108">((D217*0.000000000001)/D216)*0.992747</f>
        <v>3.1280244626778125E-16</v>
      </c>
      <c r="E219" s="16">
        <f t="shared" si="108"/>
        <v>3.1280244626778125E-16</v>
      </c>
      <c r="F219" s="16">
        <f t="shared" si="108"/>
        <v>3.1280244626778125E-16</v>
      </c>
      <c r="G219" s="16">
        <f t="shared" si="108"/>
        <v>3.1280244626778125E-16</v>
      </c>
      <c r="H219" s="16">
        <f t="shared" si="108"/>
        <v>3.1280244626778125E-16</v>
      </c>
      <c r="I219" s="16">
        <f t="shared" si="108"/>
        <v>3.1280244626778125E-16</v>
      </c>
      <c r="J219" s="16">
        <f t="shared" si="108"/>
        <v>3.1280244626778125E-16</v>
      </c>
      <c r="K219" s="16">
        <f t="shared" si="108"/>
        <v>3.1280244626778125E-16</v>
      </c>
      <c r="L219" s="16">
        <f t="shared" si="108"/>
        <v>3.1280244626778125E-16</v>
      </c>
      <c r="M219" s="16">
        <f t="shared" si="108"/>
        <v>3.1280244626778125E-16</v>
      </c>
      <c r="N219" s="16">
        <f t="shared" si="108"/>
        <v>3.1280244626778125E-16</v>
      </c>
      <c r="O219" s="16">
        <f t="shared" si="108"/>
        <v>3.1280244626778125E-16</v>
      </c>
      <c r="P219" s="16">
        <f t="shared" si="108"/>
        <v>3.1280244626778125E-16</v>
      </c>
      <c r="Q219" s="16">
        <f t="shared" si="108"/>
        <v>3.1280244626778125E-16</v>
      </c>
      <c r="R219" s="16">
        <f t="shared" si="108"/>
        <v>3.1280244626778125E-16</v>
      </c>
      <c r="S219" s="16">
        <f t="shared" si="108"/>
        <v>3.1280244626778125E-16</v>
      </c>
      <c r="T219" s="16">
        <f t="shared" si="108"/>
        <v>3.1280244626778125E-16</v>
      </c>
      <c r="U219" s="16">
        <f t="shared" si="108"/>
        <v>3.1280244626778125E-16</v>
      </c>
      <c r="V219" s="16">
        <f t="shared" si="108"/>
        <v>3.1280244626778125E-16</v>
      </c>
      <c r="W219" s="16">
        <f t="shared" si="108"/>
        <v>3.1280244626778125E-16</v>
      </c>
      <c r="X219" s="16">
        <f t="shared" si="108"/>
        <v>3.1280244626778125E-16</v>
      </c>
      <c r="Y219" s="16">
        <f t="shared" si="108"/>
        <v>3.1280244626778125E-16</v>
      </c>
      <c r="Z219" s="16">
        <f t="shared" si="108"/>
        <v>3.1280244626778125E-16</v>
      </c>
      <c r="AA219" s="16">
        <f t="shared" si="108"/>
        <v>3.1280244626778125E-16</v>
      </c>
      <c r="AB219" s="16">
        <f t="shared" si="108"/>
        <v>3.1280244626778125E-16</v>
      </c>
      <c r="AC219" s="16">
        <f t="shared" si="108"/>
        <v>3.1280244626778125E-16</v>
      </c>
      <c r="AD219" s="16">
        <f t="shared" si="108"/>
        <v>3.1280244626778125E-16</v>
      </c>
      <c r="AE219" s="16">
        <f t="shared" si="108"/>
        <v>3.1280244626778125E-16</v>
      </c>
      <c r="AF219" s="16">
        <f t="shared" si="108"/>
        <v>3.1280244626778125E-16</v>
      </c>
    </row>
    <row r="220" spans="1:33" x14ac:dyDescent="0.2">
      <c r="A220" s="198"/>
    </row>
    <row r="221" spans="1:33" ht="18" x14ac:dyDescent="0.2">
      <c r="A221" s="1" t="s">
        <v>463</v>
      </c>
    </row>
    <row r="222" spans="1:33" s="25" customFormat="1" x14ac:dyDescent="0.2">
      <c r="A222" s="198" t="s">
        <v>215</v>
      </c>
      <c r="B222" s="195"/>
      <c r="C222" s="275">
        <f>IF(C8=2535,C336,IF(C8=2536,C336,IF(C10="D",'Raw Data Input'!$AM55/100,IF(C10="F",'Raw Data Input'!$AM54/100,IF(C10=0,0)))))</f>
        <v>1.6000000000000001E-3</v>
      </c>
      <c r="D222" s="275">
        <f>IF(D8=2535,D336,IF(D8=2536,D336,IF(D10="D",'Raw Data Input'!$AM55/100,IF(D10="F",'Raw Data Input'!$AM54/100,IF(D10=0,0)))))</f>
        <v>1.6000000000000001E-3</v>
      </c>
      <c r="E222" s="275">
        <f>IF(E8=2535,E336,IF(E8=2536,E336,IF(E10="D",'Raw Data Input'!$AM55/100,IF(E10="F",'Raw Data Input'!$AM54/100,IF(E10=0,0)))))</f>
        <v>1.6000000000000001E-3</v>
      </c>
      <c r="F222" s="275">
        <f>IF(F8=2535,F336,IF(F8=2536,F336,IF(F10="D",'Raw Data Input'!$AM55/100,IF(F10="F",'Raw Data Input'!$AM54/100,IF(F10=0,0)))))</f>
        <v>1.6000000000000001E-3</v>
      </c>
      <c r="G222" s="275">
        <f>IF(G8=2535,G336,IF(G8=2536,G336,IF(G10="D",'Raw Data Input'!$AM55/100,IF(G10="F",'Raw Data Input'!$AM54/100,IF(G10=0,0)))))</f>
        <v>1.6000000000000001E-3</v>
      </c>
      <c r="H222" s="275">
        <f>IF(H8=2535,H336,IF(H8=2536,H336,IF(H10="D",'Raw Data Input'!$AM55/100,IF(H10="F",'Raw Data Input'!$AM54/100,IF(H10=0,0)))))</f>
        <v>1.6000000000000001E-3</v>
      </c>
      <c r="I222" s="275">
        <f>IF(I8=2535,I336,IF(I8=2536,I336,IF(I10="D",'Raw Data Input'!$AM55/100,IF(I10="F",'Raw Data Input'!$AM54/100,IF(I10=0,0)))))</f>
        <v>1.6000000000000001E-3</v>
      </c>
      <c r="J222" s="275">
        <f>IF(J8=2535,J336,IF(J8=2536,J336,IF(J10="D",'Raw Data Input'!$AM55/100,IF(J10="F",'Raw Data Input'!$AM54/100,IF(J10=0,0)))))</f>
        <v>1.6000000000000001E-3</v>
      </c>
      <c r="K222" s="275">
        <f>IF(K8=2535,K336,IF(K8=2536,K336,IF(K10="D",'Raw Data Input'!$AM55/100,IF(K10="F",'Raw Data Input'!$AM54/100,IF(K10=0,0)))))</f>
        <v>1.6000000000000001E-3</v>
      </c>
      <c r="L222" s="275">
        <f>IF(L8=2535,L336,IF(L8=2536,L336,IF(L10="D",'Raw Data Input'!$AM55/100,IF(L10="F",'Raw Data Input'!$AM54/100,IF(L10=0,0)))))</f>
        <v>1.6000000000000001E-3</v>
      </c>
      <c r="M222" s="275">
        <f>IF(M8=2535,M336,IF(M8=2536,M336,IF(M10="D",'Raw Data Input'!$AM55/100,IF(M10="F",'Raw Data Input'!$AM54/100,IF(M10=0,0)))))</f>
        <v>1.6000000000000001E-3</v>
      </c>
      <c r="N222" s="275">
        <f>IF(N8=2535,N336,IF(N8=2536,N336,IF(N10="D",'Raw Data Input'!$AM55/100,IF(N10="F",'Raw Data Input'!$AM54/100,IF(N10=0,0)))))</f>
        <v>1.6000000000000001E-3</v>
      </c>
      <c r="O222" s="275">
        <f>IF(O8=2535,O336,IF(O8=2536,O336,IF(O10="D",'Raw Data Input'!$AM55/100,IF(O10="F",'Raw Data Input'!$AM54/100,IF(O10=0,0)))))</f>
        <v>1.6000000000000001E-3</v>
      </c>
      <c r="P222" s="275">
        <f>IF(P8=2535,P336,IF(P8=2536,P336,IF(P10="D",'Raw Data Input'!$AM55/100,IF(P10="F",'Raw Data Input'!$AM54/100,IF(P10=0,0)))))</f>
        <v>1.6000000000000001E-3</v>
      </c>
      <c r="Q222" s="275">
        <f>IF(Q8=2535,Q336,IF(Q8=2536,Q336,IF(Q10="D",'Raw Data Input'!$AM55/100,IF(Q10="F",'Raw Data Input'!$AM54/100,IF(Q10=0,0)))))</f>
        <v>1.6000000000000001E-3</v>
      </c>
      <c r="R222" s="275">
        <f>IF(R8=2535,R336,IF(R8=2536,R336,IF(R10="D",'Raw Data Input'!$AM55/100,IF(R10="F",'Raw Data Input'!$AM54/100,IF(R10=0,0)))))</f>
        <v>1.8408761647197291E-3</v>
      </c>
      <c r="S222" s="275">
        <f>IF(S8=2535,S336,IF(S8=2536,S336,IF(S10="D",'Raw Data Input'!$AM55/100,IF(S10="F",'Raw Data Input'!$AM54/100,IF(S10=0,0)))))</f>
        <v>1.9260377576978775E-3</v>
      </c>
      <c r="T222" s="275">
        <f>IF(T8=2535,T336,IF(T8=2536,T336,IF(T10="D",'Raw Data Input'!$AM55/100,IF(T10="F",'Raw Data Input'!$AM54/100,IF(T10=0,0)))))</f>
        <v>1.4317087975946514E-3</v>
      </c>
      <c r="U222" s="275">
        <f>IF(U8=2535,U336,IF(U8=2536,U336,IF(U10="D",'Raw Data Input'!$AM55/100,IF(U10="F",'Raw Data Input'!$AM54/100,IF(U10=0,0)))))</f>
        <v>1.5233612016612996E-3</v>
      </c>
      <c r="V222" s="275">
        <f>IF(V8=2535,V336,IF(V8=2536,V336,IF(V10="D",'Raw Data Input'!$AM55/100,IF(V10="F",'Raw Data Input'!$AM54/100,IF(V10=0,0)))))</f>
        <v>1.5806347755361976E-3</v>
      </c>
      <c r="W222" s="275">
        <f>IF(W8=2535,W336,IF(W8=2536,W336,IF(W10="D",'Raw Data Input'!$AM55/100,IF(W10="F",'Raw Data Input'!$AM54/100,IF(W10=0,0)))))</f>
        <v>1.2307693552975711E-3</v>
      </c>
      <c r="X222" s="275">
        <f>IF(X8=2535,X336,IF(X8=2536,X336,IF(X10="D",'Raw Data Input'!$AM55/100,IF(X10="F",'Raw Data Input'!$AM54/100,IF(X10=0,0)))))</f>
        <v>9.0106905920532088E-4</v>
      </c>
      <c r="Y222" s="275">
        <f>IF(Y8=2535,Y336,IF(Y8=2536,Y336,IF(Y10="D",'Raw Data Input'!$AM55/100,IF(Y10="F",'Raw Data Input'!$AM54/100,IF(Y10=0,0)))))</f>
        <v>1.4413988364823844E-3</v>
      </c>
      <c r="Z222" s="275">
        <f>IF(Z8=2535,Z336,IF(Z8=2536,Z336,IF(Z10="D",'Raw Data Input'!$AM55/100,IF(Z10="F",'Raw Data Input'!$AM54/100,IF(Z10=0,0)))))</f>
        <v>1.4938409003241171E-3</v>
      </c>
      <c r="AA222" s="275">
        <f>IF(AA8=2535,AA336,IF(AA8=2536,AA336,IF(AA10="D",'Raw Data Input'!$AM55/100,IF(AA10="F",'Raw Data Input'!$AM54/100,IF(AA10=0,0)))))</f>
        <v>1E-3</v>
      </c>
      <c r="AB222" s="275">
        <f>IF(AB8=2535,AB336,IF(AB8=2536,AB336,IF(AB10="D",'Raw Data Input'!$AM55/100,IF(AB10="F",'Raw Data Input'!$AM54/100,IF(AB10=0,0)))))</f>
        <v>1E-3</v>
      </c>
      <c r="AC222" s="275">
        <f>IF(AC8=2535,AC336,IF(AC8=2536,AC336,IF(AC10="D",'Raw Data Input'!$AM55/100,IF(AC10="F",'Raw Data Input'!$AM54/100,IF(AC10=0,0)))))</f>
        <v>1E-3</v>
      </c>
      <c r="AD222" s="275">
        <f>IF(AD8=2535,AD336,IF(AD8=2536,AD336,IF(AD10="D",'Raw Data Input'!$AM55/100,IF(AD10="F",'Raw Data Input'!$AM54/100,IF(AD10=0,0)))))</f>
        <v>1E-3</v>
      </c>
      <c r="AE222" s="275">
        <f>IF(AE8=2535,AE336,IF(AE8=2536,AE336,IF(AE10="D",'Raw Data Input'!$AM55/100,IF(AE10="F",'Raw Data Input'!$AM54/100,IF(AE10=0,0)))))</f>
        <v>1E-3</v>
      </c>
      <c r="AF222" s="275">
        <f>IF(AF8=2535,AF336,IF(AF8=2536,AF336,IF(AF10="D",'Raw Data Input'!$AM55/100,IF(AF10="F",'Raw Data Input'!$AM54/100,IF(AF10=0,0)))))</f>
        <v>1E-3</v>
      </c>
      <c r="AG222" s="275"/>
    </row>
    <row r="223" spans="1:33" s="25" customFormat="1" x14ac:dyDescent="0.2">
      <c r="A223" s="212" t="s">
        <v>472</v>
      </c>
      <c r="B223" s="195"/>
      <c r="C223" s="275">
        <f>IF(C8=2535,C337,IF(C8=2536,C337,IF(C10="D",'Raw Data Input'!$AN55/100,IF(C10="F",'Raw Data Input'!$AN54/100,IF(C10=0,0)))))</f>
        <v>2.9999999999999997E-4</v>
      </c>
      <c r="D223" s="275">
        <f>IF(D8=2535,D337,IF(D8=2536,D337,IF(D10="D",'Raw Data Input'!$AN55/100,IF(D10="F",'Raw Data Input'!$AN54/100,IF(D10=0,0)))))</f>
        <v>2.9999999999999997E-4</v>
      </c>
      <c r="E223" s="275">
        <f>IF(E8=2535,E337,IF(E8=2536,E337,IF(E10="D",'Raw Data Input'!$AN55/100,IF(E10="F",'Raw Data Input'!$AN54/100,IF(E10=0,0)))))</f>
        <v>2.9999999999999997E-4</v>
      </c>
      <c r="F223" s="275">
        <f>IF(F8=2535,F337,IF(F8=2536,F337,IF(F10="D",'Raw Data Input'!$AN55/100,IF(F10="F",'Raw Data Input'!$AN54/100,IF(F10=0,0)))))</f>
        <v>2.9999999999999997E-4</v>
      </c>
      <c r="G223" s="275">
        <f>IF(G8=2535,G337,IF(G8=2536,G337,IF(G10="D",'Raw Data Input'!$AN55/100,IF(G10="F",'Raw Data Input'!$AN54/100,IF(G10=0,0)))))</f>
        <v>2.9999999999999997E-4</v>
      </c>
      <c r="H223" s="275">
        <f>IF(H8=2535,H337,IF(H8=2536,H337,IF(H10="D",'Raw Data Input'!$AN55/100,IF(H10="F",'Raw Data Input'!$AN54/100,IF(H10=0,0)))))</f>
        <v>2.9999999999999997E-4</v>
      </c>
      <c r="I223" s="275">
        <f>IF(I8=2535,I337,IF(I8=2536,I337,IF(I10="D",'Raw Data Input'!$AN55/100,IF(I10="F",'Raw Data Input'!$AN54/100,IF(I10=0,0)))))</f>
        <v>2.9999999999999997E-4</v>
      </c>
      <c r="J223" s="275">
        <f>IF(J8=2535,J337,IF(J8=2536,J337,IF(J10="D",'Raw Data Input'!$AN55/100,IF(J10="F",'Raw Data Input'!$AN54/100,IF(J10=0,0)))))</f>
        <v>2.9999999999999997E-4</v>
      </c>
      <c r="K223" s="275">
        <f>IF(K8=2535,K337,IF(K8=2536,K337,IF(K10="D",'Raw Data Input'!$AN55/100,IF(K10="F",'Raw Data Input'!$AN54/100,IF(K10=0,0)))))</f>
        <v>2.9999999999999997E-4</v>
      </c>
      <c r="L223" s="275">
        <f>IF(L8=2535,L337,IF(L8=2536,L337,IF(L10="D",'Raw Data Input'!$AN55/100,IF(L10="F",'Raw Data Input'!$AN54/100,IF(L10=0,0)))))</f>
        <v>2.9999999999999997E-4</v>
      </c>
      <c r="M223" s="275">
        <f>IF(M8=2535,M337,IF(M8=2536,M337,IF(M10="D",'Raw Data Input'!$AN55/100,IF(M10="F",'Raw Data Input'!$AN54/100,IF(M10=0,0)))))</f>
        <v>2.9999999999999997E-4</v>
      </c>
      <c r="N223" s="275">
        <f>IF(N8=2535,N337,IF(N8=2536,N337,IF(N10="D",'Raw Data Input'!$AN55/100,IF(N10="F",'Raw Data Input'!$AN54/100,IF(N10=0,0)))))</f>
        <v>2.9999999999999997E-4</v>
      </c>
      <c r="O223" s="275">
        <f>IF(O8=2535,O337,IF(O8=2536,O337,IF(O10="D",'Raw Data Input'!$AN55/100,IF(O10="F",'Raw Data Input'!$AN54/100,IF(O10=0,0)))))</f>
        <v>2.9999999999999997E-4</v>
      </c>
      <c r="P223" s="275">
        <f>IF(P8=2535,P337,IF(P8=2536,P337,IF(P10="D",'Raw Data Input'!$AN55/100,IF(P10="F",'Raw Data Input'!$AN54/100,IF(P10=0,0)))))</f>
        <v>2.9999999999999997E-4</v>
      </c>
      <c r="Q223" s="275">
        <f>IF(Q8=2535,Q337,IF(Q8=2536,Q337,IF(Q10="D",'Raw Data Input'!$AN55/100,IF(Q10="F",'Raw Data Input'!$AN54/100,IF(Q10=0,0)))))</f>
        <v>2.9999999999999997E-4</v>
      </c>
      <c r="R223" s="275">
        <f>IF(R8=2535,R337,IF(R8=2536,R337,IF(R10="D",'Raw Data Input'!$AN55/100,IF(R10="F",'Raw Data Input'!$AN54/100,IF(R10=0,0)))))</f>
        <v>1.030848395744147E-4</v>
      </c>
      <c r="S223" s="275">
        <f>IF(S8=2535,S337,IF(S8=2536,S337,IF(S10="D",'Raw Data Input'!$AN55/100,IF(S10="F",'Raw Data Input'!$AN54/100,IF(S10=0,0)))))</f>
        <v>9.8891075754841716E-5</v>
      </c>
      <c r="T223" s="275">
        <f>IF(T8=2535,T337,IF(T8=2536,T337,IF(T10="D",'Raw Data Input'!$AN55/100,IF(T10="F",'Raw Data Input'!$AN54/100,IF(T10=0,0)))))</f>
        <v>9.5591285863055029E-5</v>
      </c>
      <c r="U223" s="275">
        <f>IF(U8=2535,U337,IF(U8=2536,U337,IF(U10="D",'Raw Data Input'!$AN55/100,IF(U10="F",'Raw Data Input'!$AN54/100,IF(U10=0,0)))))</f>
        <v>1.0439869677914278E-4</v>
      </c>
      <c r="V223" s="275">
        <f>IF(V8=2535,V337,IF(V8=2536,V337,IF(V10="D",'Raw Data Input'!$AN55/100,IF(V10="F",'Raw Data Input'!$AN54/100,IF(V10=0,0)))))</f>
        <v>1.1032784522394182E-4</v>
      </c>
      <c r="W223" s="275">
        <f>IF(W8=2535,W337,IF(W8=2536,W337,IF(W10="D",'Raw Data Input'!$AN55/100,IF(W10="F",'Raw Data Input'!$AN54/100,IF(W10=0,0)))))</f>
        <v>9.3305274424537594E-5</v>
      </c>
      <c r="X223" s="275">
        <f>IF(X8=2535,X337,IF(X8=2536,X337,IF(X10="D",'Raw Data Input'!$AN55/100,IF(X10="F",'Raw Data Input'!$AN54/100,IF(X10=0,0)))))</f>
        <v>9.7722470225810665E-5</v>
      </c>
      <c r="Y223" s="275">
        <f>IF(Y8=2535,Y337,IF(Y8=2536,Y337,IF(Y10="D",'Raw Data Input'!$AN55/100,IF(Y10="F",'Raw Data Input'!$AN54/100,IF(Y10=0,0)))))</f>
        <v>1.0945176541164699E-4</v>
      </c>
      <c r="Z223" s="275">
        <f>IF(Z8=2535,Z337,IF(Z8=2536,Z337,IF(Z10="D",'Raw Data Input'!$AN55/100,IF(Z10="F",'Raw Data Input'!$AN54/100,IF(Z10=0,0)))))</f>
        <v>1.0058767655137665E-4</v>
      </c>
      <c r="AA223" s="275">
        <f>IF(AA8=2535,AA337,IF(AA8=2536,AA337,IF(AA10="D",'Raw Data Input'!$AN55/100,IF(AA10="F",'Raw Data Input'!$AN54/100,IF(AA10=0,0)))))</f>
        <v>2.0000000000000001E-4</v>
      </c>
      <c r="AB223" s="275">
        <f>IF(AB8=2535,AB337,IF(AB8=2536,AB337,IF(AB10="D",'Raw Data Input'!$AN55/100,IF(AB10="F",'Raw Data Input'!$AN54/100,IF(AB10=0,0)))))</f>
        <v>2.0000000000000001E-4</v>
      </c>
      <c r="AC223" s="275">
        <f>IF(AC8=2535,AC337,IF(AC8=2536,AC337,IF(AC10="D",'Raw Data Input'!$AN55/100,IF(AC10="F",'Raw Data Input'!$AN54/100,IF(AC10=0,0)))))</f>
        <v>2.0000000000000001E-4</v>
      </c>
      <c r="AD223" s="275">
        <f>IF(AD8=2535,AD337,IF(AD8=2536,AD337,IF(AD10="D",'Raw Data Input'!$AN55/100,IF(AD10="F",'Raw Data Input'!$AN54/100,IF(AD10=0,0)))))</f>
        <v>2.0000000000000001E-4</v>
      </c>
      <c r="AE223" s="275">
        <f>IF(AE8=2535,AE337,IF(AE8=2536,AE337,IF(AE10="D",'Raw Data Input'!$AN55/100,IF(AE10="F",'Raw Data Input'!$AN54/100,IF(AE10=0,0)))))</f>
        <v>2.0000000000000001E-4</v>
      </c>
      <c r="AF223" s="275">
        <f>IF(AF8=2535,AF337,IF(AF8=2536,AF337,IF(AF10="D",'Raw Data Input'!$AN55/100,IF(AF10="F",'Raw Data Input'!$AN54/100,IF(AF10=0,0)))))</f>
        <v>2.0000000000000001E-4</v>
      </c>
      <c r="AG223" s="275"/>
    </row>
    <row r="224" spans="1:33" s="25" customFormat="1" x14ac:dyDescent="0.2">
      <c r="A224" s="198" t="s">
        <v>216</v>
      </c>
      <c r="B224" s="57"/>
      <c r="C224" s="275">
        <f>IF(C8=2535,C351,IF(C8=535,C351,IF(C8=2536,C358,IF(C8=536,C358,IF(C10="D",'Raw Data Input'!$AM59/100,IF(C10="F",'Raw Data Input'!$AM58/100,IF(C10=0,0)))))))</f>
        <v>8.977207724010566E-4</v>
      </c>
      <c r="D224" s="275">
        <f>IF(D8=2535,D351,IF(D8=535,D351,IF(D8=2536,D358,IF(D8=536,D358,IF(D10="D",'Raw Data Input'!$AM59/100,IF(D10="F",'Raw Data Input'!$AM58/100,IF(D10=0,0)))))))</f>
        <v>7.5418377999554446E-4</v>
      </c>
      <c r="E224" s="275">
        <f>IF(E8=2535,E351,IF(E8=535,E351,IF(E8=2536,E358,IF(E8=536,E358,IF(E10="D",'Raw Data Input'!$AM59/100,IF(E10="F",'Raw Data Input'!$AM58/100,IF(E10=0,0)))))))</f>
        <v>8.5824070651780858E-4</v>
      </c>
      <c r="F224" s="275">
        <f>IF(F8=2535,F351,IF(F8=535,F351,IF(F8=2536,F358,IF(F8=536,F358,IF(F10="D",'Raw Data Input'!$AM59/100,IF(F10="F",'Raw Data Input'!$AM58/100,IF(F10=0,0)))))))</f>
        <v>8.3591527642644825E-4</v>
      </c>
      <c r="G224" s="275">
        <f>IF(G8=2535,G351,IF(G8=535,G351,IF(G8=2536,G358,IF(G8=536,G358,IF(G10="D",'Raw Data Input'!$AM59/100,IF(G10="F",'Raw Data Input'!$AM58/100,IF(G10=0,0)))))))</f>
        <v>7.2875260117511418E-4</v>
      </c>
      <c r="H224" s="275">
        <f>IF(H8=2535,H351,IF(H8=535,H351,IF(H8=2536,H358,IF(H8=536,H358,IF(H10="D",'Raw Data Input'!$AM59/100,IF(H10="F",'Raw Data Input'!$AM58/100,IF(H10=0,0)))))))</f>
        <v>1.1201006202239219E-3</v>
      </c>
      <c r="I224" s="275">
        <f>IF(I8=2535,I351,IF(I8=535,I351,IF(I8=2536,I358,IF(I8=536,I358,IF(I10="D",'Raw Data Input'!$AM59/100,IF(I10="F",'Raw Data Input'!$AM58/100,IF(I10=0,0)))))))</f>
        <v>9.2044358376370346E-4</v>
      </c>
      <c r="J224" s="275">
        <f>IF(J8=2535,J351,IF(J8=535,J351,IF(J8=2536,J358,IF(J8=536,J358,IF(J10="D",'Raw Data Input'!$AM59/100,IF(J10="F",'Raw Data Input'!$AM58/100,IF(J10=0,0)))))))</f>
        <v>8.5498887217104827E-4</v>
      </c>
      <c r="K224" s="275">
        <f>IF(K8=2535,K351,IF(K8=535,K351,IF(K8=2536,K358,IF(K8=536,K358,IF(K10="D",'Raw Data Input'!$AM59/100,IF(K10="F",'Raw Data Input'!$AM58/100,IF(K10=0,0)))))))</f>
        <v>8.2130923984435292E-4</v>
      </c>
      <c r="L224" s="275">
        <f>IF(L8=2535,L351,IF(L8=535,L351,IF(L8=2536,L358,IF(L8=536,L358,IF(L10="D",'Raw Data Input'!$AM59/100,IF(L10="F",'Raw Data Input'!$AM58/100,IF(L10=0,0)))))))</f>
        <v>7.8236839948635478E-4</v>
      </c>
      <c r="M224" s="275">
        <f>IF(M8=2535,M351,IF(M8=535,M351,IF(M8=2536,M358,IF(M8=536,M358,IF(M10="D",'Raw Data Input'!$AM59/100,IF(M10="F",'Raw Data Input'!$AM58/100,IF(M10=0,0)))))))</f>
        <v>7.6421940737198468E-4</v>
      </c>
      <c r="N224" s="275">
        <f>IF(N8=2535,N351,IF(N8=535,N351,IF(N8=2536,N358,IF(N8=536,N358,IF(N10="D",'Raw Data Input'!$AM59/100,IF(N10="F",'Raw Data Input'!$AM58/100,IF(N10=0,0)))))))</f>
        <v>7.8382309841712515E-4</v>
      </c>
      <c r="O224" s="275">
        <f>IF(O8=2535,O351,IF(O8=535,O351,IF(O8=2536,O358,IF(O8=536,O358,IF(O10="D",'Raw Data Input'!$AM59/100,IF(O10="F",'Raw Data Input'!$AM58/100,IF(O10=0,0)))))))</f>
        <v>8.8831125256811825E-4</v>
      </c>
      <c r="P224" s="275">
        <f>IF(P8=2535,P351,IF(P8=535,P351,IF(P8=2536,P358,IF(P8=536,P358,IF(P10="D",'Raw Data Input'!$AM59/100,IF(P10="F",'Raw Data Input'!$AM58/100,IF(P10=0,0)))))))</f>
        <v>9.3330814886403285E-4</v>
      </c>
      <c r="Q224" s="275">
        <f>IF(Q8=2535,Q351,IF(Q8=535,Q351,IF(Q8=2536,Q358,IF(Q8=536,Q358,IF(Q10="D",'Raw Data Input'!$AM59/100,IF(Q10="F",'Raw Data Input'!$AM58/100,IF(Q10=0,0)))))))</f>
        <v>8.121768119519967E-4</v>
      </c>
      <c r="R224" s="275">
        <f>IF(R8=2535,R351,IF(R8=535,R351,IF(R8=2536,R358,IF(R8=536,R358,IF(R10="D",'Raw Data Input'!$AM59/100,IF(R10="F",'Raw Data Input'!$AM58/100,IF(R10=0,0)))))))</f>
        <v>9.4598656491480407E-4</v>
      </c>
      <c r="S224" s="275">
        <f>IF(S8=2535,S351,IF(S8=535,S351,IF(S8=2536,S358,IF(S8=536,S358,IF(S10="D",'Raw Data Input'!$AM59/100,IF(S10="F",'Raw Data Input'!$AM58/100,IF(S10=0,0)))))))</f>
        <v>8.3316911943689487E-4</v>
      </c>
      <c r="T224" s="275">
        <f>IF(T8=2535,T351,IF(T8=535,T351,IF(T8=2536,T358,IF(T8=536,T358,IF(T10="D",'Raw Data Input'!$AM59/100,IF(T10="F",'Raw Data Input'!$AM58/100,IF(T10=0,0)))))))</f>
        <v>8.8562421267319427E-4</v>
      </c>
      <c r="U224" s="275">
        <f>IF(U8=2535,U351,IF(U8=535,U351,IF(U8=2536,U358,IF(U8=536,U358,IF(U10="D",'Raw Data Input'!$AM59/100,IF(U10="F",'Raw Data Input'!$AM58/100,IF(U10=0,0)))))))</f>
        <v>8.7356326153036382E-4</v>
      </c>
      <c r="V224" s="275">
        <f>IF(V8=2535,V351,IF(V8=535,V351,IF(V8=2536,V358,IF(V8=536,V358,IF(V10="D",'Raw Data Input'!$AM59/100,IF(V10="F",'Raw Data Input'!$AM58/100,IF(V10=0,0)))))))</f>
        <v>8.4531020433877826E-4</v>
      </c>
      <c r="W224" s="275">
        <f>IF(W8=2535,W351,IF(W8=535,W351,IF(W8=2536,W358,IF(W8=536,W358,IF(W10="D",'Raw Data Input'!$AM59/100,IF(W10="F",'Raw Data Input'!$AM58/100,IF(W10=0,0)))))))</f>
        <v>7.9960145623763073E-4</v>
      </c>
      <c r="X224" s="275">
        <f>IF(X8=2535,X351,IF(X8=535,X351,IF(X8=2536,X358,IF(X8=536,X358,IF(X10="D",'Raw Data Input'!$AM59/100,IF(X10="F",'Raw Data Input'!$AM58/100,IF(X10=0,0)))))))</f>
        <v>8.6458747787079805E-4</v>
      </c>
      <c r="Y224" s="275">
        <f>IF(Y8=2535,Y351,IF(Y8=535,Y351,IF(Y8=2536,Y358,IF(Y8=536,Y358,IF(Y10="D",'Raw Data Input'!$AM59/100,IF(Y10="F",'Raw Data Input'!$AM58/100,IF(Y10=0,0)))))))</f>
        <v>7.5336925828359432E-4</v>
      </c>
      <c r="Z224" s="275">
        <f>IF(Z8=2535,Z351,IF(Z8=535,Z351,IF(Z8=2536,Z358,IF(Z8=536,Z358,IF(Z10="D",'Raw Data Input'!$AM59/100,IF(Z10="F",'Raw Data Input'!$AM58/100,IF(Z10=0,0)))))))</f>
        <v>8.172116980750075E-4</v>
      </c>
      <c r="AA224" s="275">
        <f>IF(AA8=2535,AA351,IF(AA8=535,AA351,IF(AA8=2536,AA358,IF(AA8=536,AA358,IF(AA10="D",'Raw Data Input'!$AM59/100,IF(AA10="F",'Raw Data Input'!$AM58/100,IF(AA10=0,0)))))))</f>
        <v>9.9715861099821117E-4</v>
      </c>
      <c r="AB224" s="275">
        <f>IF(AB8=2535,AB351,IF(AB8=535,AB351,IF(AB8=2536,AB358,IF(AB8=536,AB358,IF(AB10="D",'Raw Data Input'!$AM59/100,IF(AB10="F",'Raw Data Input'!$AM58/100,IF(AB10=0,0)))))))</f>
        <v>1.0067951354379287E-3</v>
      </c>
      <c r="AC224" s="275">
        <f>IF(AC8=2535,AC351,IF(AC8=535,AC351,IF(AC8=2536,AC358,IF(AC8=536,AC358,IF(AC10="D",'Raw Data Input'!$AM59/100,IF(AC10="F",'Raw Data Input'!$AM58/100,IF(AC10=0,0)))))))</f>
        <v>9.2581602532847878E-4</v>
      </c>
      <c r="AD224" s="275">
        <f>IF(AD8=2535,AD351,IF(AD8=535,AD351,IF(AD8=2536,AD358,IF(AD8=536,AD358,IF(AD10="D",'Raw Data Input'!$AM59/100,IF(AD10="F",'Raw Data Input'!$AM58/100,IF(AD10=0,0)))))))</f>
        <v>9.0700787106938962E-4</v>
      </c>
      <c r="AE224" s="275">
        <f>IF(AE8=2535,AE351,IF(AE8=535,AE351,IF(AE8=2536,AE358,IF(AE8=536,AE358,IF(AE10="D",'Raw Data Input'!$AM59/100,IF(AE10="F",'Raw Data Input'!$AM58/100,IF(AE10=0,0)))))))</f>
        <v>8.8614123791773414E-4</v>
      </c>
      <c r="AF224" s="275">
        <f>IF(AF8=2535,AF351,IF(AF8=535,AF351,IF(AF8=2536,AF358,IF(AF8=536,AF358,IF(AF10="D",'Raw Data Input'!$AM59/100,IF(AF10="F",'Raw Data Input'!$AM58/100,IF(AF10=0,0)))))))</f>
        <v>1.0129816962847753E-3</v>
      </c>
      <c r="AG224" s="275"/>
    </row>
    <row r="225" spans="1:33" s="25" customFormat="1" x14ac:dyDescent="0.2">
      <c r="A225" s="212" t="s">
        <v>472</v>
      </c>
      <c r="B225" s="57"/>
      <c r="C225" s="275">
        <f>IF(C8=2535,C352,IF(C8=535,C352,IF(C8=2536,C359,IF(C8=536,C359,IF(C10="D",'Raw Data Input'!$AN59/100,IF(C10="F",'Raw Data Input'!$AN58/100,IF(C10=0,0)))))))</f>
        <v>5.1702200649465698E-5</v>
      </c>
      <c r="D225" s="275">
        <f>IF(D8=2535,D352,IF(D8=535,D352,IF(D8=2536,D359,IF(D8=536,D359,IF(D10="D",'Raw Data Input'!$AN59/100,IF(D10="F",'Raw Data Input'!$AN58/100,IF(D10=0,0)))))))</f>
        <v>5.157286929420401E-5</v>
      </c>
      <c r="E225" s="275">
        <f>IF(E8=2535,E352,IF(E8=535,E352,IF(E8=2536,E359,IF(E8=536,E359,IF(E10="D",'Raw Data Input'!$AN59/100,IF(E10="F",'Raw Data Input'!$AN58/100,IF(E10=0,0)))))))</f>
        <v>5.1800721957556901E-5</v>
      </c>
      <c r="F225" s="275">
        <f>IF(F8=2535,F352,IF(F8=535,F352,IF(F8=2536,F359,IF(F8=536,F359,IF(F10="D",'Raw Data Input'!$AN59/100,IF(F10="F",'Raw Data Input'!$AN58/100,IF(F10=0,0)))))))</f>
        <v>5.1482011419401861E-5</v>
      </c>
      <c r="G225" s="275">
        <f>IF(G8=2535,G352,IF(G8=535,G352,IF(G8=2536,G359,IF(G8=536,G359,IF(G10="D",'Raw Data Input'!$AN59/100,IF(G10="F",'Raw Data Input'!$AN58/100,IF(G10=0,0)))))))</f>
        <v>5.3813733734415329E-5</v>
      </c>
      <c r="H225" s="275">
        <f>IF(H8=2535,H352,IF(H8=535,H352,IF(H8=2536,H359,IF(H8=536,H359,IF(H10="D",'Raw Data Input'!$AN59/100,IF(H10="F",'Raw Data Input'!$AN58/100,IF(H10=0,0)))))))</f>
        <v>5.6527007454429709E-5</v>
      </c>
      <c r="I225" s="275">
        <f>IF(I8=2535,I352,IF(I8=535,I352,IF(I8=2536,I359,IF(I8=536,I359,IF(I10="D",'Raw Data Input'!$AN59/100,IF(I10="F",'Raw Data Input'!$AN58/100,IF(I10=0,0)))))))</f>
        <v>5.108529329491295E-5</v>
      </c>
      <c r="J225" s="275">
        <f>IF(J8=2535,J352,IF(J8=535,J352,IF(J8=2536,J359,IF(J8=536,J359,IF(J10="D",'Raw Data Input'!$AN59/100,IF(J10="F",'Raw Data Input'!$AN58/100,IF(J10=0,0)))))))</f>
        <v>6.2506629095832123E-5</v>
      </c>
      <c r="K225" s="275">
        <f>IF(K8=2535,K352,IF(K8=535,K352,IF(K8=2536,K359,IF(K8=536,K359,IF(K10="D",'Raw Data Input'!$AN59/100,IF(K10="F",'Raw Data Input'!$AN58/100,IF(K10=0,0)))))))</f>
        <v>3.0026970546842408E-5</v>
      </c>
      <c r="L225" s="275">
        <f>IF(L8=2535,L352,IF(L8=535,L352,IF(L8=2536,L359,IF(L8=536,L359,IF(L10="D",'Raw Data Input'!$AN59/100,IF(L10="F",'Raw Data Input'!$AN58/100,IF(L10=0,0)))))))</f>
        <v>2.8679660212393701E-5</v>
      </c>
      <c r="M225" s="275">
        <f>IF(M8=2535,M352,IF(M8=535,M352,IF(M8=2536,M359,IF(M8=536,M359,IF(M10="D",'Raw Data Input'!$AN59/100,IF(M10="F",'Raw Data Input'!$AN58/100,IF(M10=0,0)))))))</f>
        <v>2.8040683294395677E-5</v>
      </c>
      <c r="N225" s="275">
        <f>IF(N8=2535,N352,IF(N8=535,N352,IF(N8=2536,N359,IF(N8=536,N359,IF(N10="D",'Raw Data Input'!$AN59/100,IF(N10="F",'Raw Data Input'!$AN58/100,IF(N10=0,0)))))))</f>
        <v>2.9327043883088185E-5</v>
      </c>
      <c r="O225" s="275">
        <f>IF(O8=2535,O352,IF(O8=535,O352,IF(O8=2536,O359,IF(O8=536,O359,IF(O10="D",'Raw Data Input'!$AN59/100,IF(O10="F",'Raw Data Input'!$AN58/100,IF(O10=0,0)))))))</f>
        <v>2.9643298938927571E-5</v>
      </c>
      <c r="P225" s="275">
        <f>IF(P8=2535,P352,IF(P8=535,P352,IF(P8=2536,P359,IF(P8=536,P359,IF(P10="D",'Raw Data Input'!$AN59/100,IF(P10="F",'Raw Data Input'!$AN58/100,IF(P10=0,0)))))))</f>
        <v>6.5422743316036338E-5</v>
      </c>
      <c r="Q225" s="275">
        <f>IF(Q8=2535,Q352,IF(Q8=535,Q352,IF(Q8=2536,Q359,IF(Q8=536,Q359,IF(Q10="D",'Raw Data Input'!$AN59/100,IF(Q10="F",'Raw Data Input'!$AN58/100,IF(Q10=0,0)))))))</f>
        <v>2.8409541967819088E-5</v>
      </c>
      <c r="R225" s="275">
        <f>IF(R8=2535,R352,IF(R8=535,R352,IF(R8=2536,R359,IF(R8=536,R359,IF(R10="D",'Raw Data Input'!$AN59/100,IF(R10="F",'Raw Data Input'!$AN58/100,IF(R10=0,0)))))))</f>
        <v>3.1458640333718533E-5</v>
      </c>
      <c r="S225" s="275">
        <f>IF(S8=2535,S352,IF(S8=535,S352,IF(S8=2536,S359,IF(S8=536,S359,IF(S10="D",'Raw Data Input'!$AN59/100,IF(S10="F",'Raw Data Input'!$AN58/100,IF(S10=0,0)))))))</f>
        <v>2.920608888885594E-5</v>
      </c>
      <c r="T225" s="275">
        <f>IF(T8=2535,T352,IF(T8=535,T352,IF(T8=2536,T359,IF(T8=536,T359,IF(T10="D",'Raw Data Input'!$AN59/100,IF(T10="F",'Raw Data Input'!$AN58/100,IF(T10=0,0)))))))</f>
        <v>2.920246267889503E-5</v>
      </c>
      <c r="U225" s="275">
        <f>IF(U8=2535,U352,IF(U8=535,U352,IF(U8=2536,U359,IF(U8=536,U359,IF(U10="D",'Raw Data Input'!$AN59/100,IF(U10="F",'Raw Data Input'!$AN58/100,IF(U10=0,0)))))))</f>
        <v>3.0847467421599708E-5</v>
      </c>
      <c r="V225" s="275">
        <f>IF(V8=2535,V352,IF(V8=535,V352,IF(V8=2536,V359,IF(V8=536,V359,IF(V10="D",'Raw Data Input'!$AN59/100,IF(V10="F",'Raw Data Input'!$AN58/100,IF(V10=0,0)))))))</f>
        <v>2.9399970630823377E-5</v>
      </c>
      <c r="W225" s="275">
        <f>IF(W8=2535,W352,IF(W8=535,W352,IF(W8=2536,W359,IF(W8=536,W359,IF(W10="D",'Raw Data Input'!$AN59/100,IF(W10="F",'Raw Data Input'!$AN58/100,IF(W10=0,0)))))))</f>
        <v>2.8490386839343348E-5</v>
      </c>
      <c r="X225" s="275">
        <f>IF(X8=2535,X352,IF(X8=535,X352,IF(X8=2536,X359,IF(X8=536,X359,IF(X10="D",'Raw Data Input'!$AN59/100,IF(X10="F",'Raw Data Input'!$AN58/100,IF(X10=0,0)))))))</f>
        <v>2.9354100077299797E-5</v>
      </c>
      <c r="Y225" s="275">
        <f>IF(Y8=2535,Y352,IF(Y8=535,Y352,IF(Y8=2536,Y359,IF(Y8=536,Y359,IF(Y10="D",'Raw Data Input'!$AN59/100,IF(Y10="F",'Raw Data Input'!$AN58/100,IF(Y10=0,0)))))))</f>
        <v>2.8850657398587031E-5</v>
      </c>
      <c r="Z225" s="275">
        <f>IF(Z8=2535,Z352,IF(Z8=535,Z352,IF(Z8=2536,Z359,IF(Z8=536,Z359,IF(Z10="D",'Raw Data Input'!$AN59/100,IF(Z10="F",'Raw Data Input'!$AN58/100,IF(Z10=0,0)))))))</f>
        <v>3.0252001014990495E-5</v>
      </c>
      <c r="AA225" s="275">
        <f>IF(AA8=2535,AA352,IF(AA8=535,AA352,IF(AA8=2536,AA359,IF(AA8=536,AA359,IF(AA10="D",'Raw Data Input'!$AN59/100,IF(AA10="F",'Raw Data Input'!$AN58/100,IF(AA10=0,0)))))))</f>
        <v>5.1609235099119351E-5</v>
      </c>
      <c r="AB225" s="275">
        <f>IF(AB8=2535,AB352,IF(AB8=535,AB352,IF(AB8=2536,AB359,IF(AB8=536,AB359,IF(AB10="D",'Raw Data Input'!$AN59/100,IF(AB10="F",'Raw Data Input'!$AN58/100,IF(AB10=0,0)))))))</f>
        <v>5.2359320190275076E-5</v>
      </c>
      <c r="AC225" s="275">
        <f>IF(AC8=2535,AC352,IF(AC8=535,AC352,IF(AC8=2536,AC359,IF(AC8=536,AC359,IF(AC10="D",'Raw Data Input'!$AN59/100,IF(AC10="F",'Raw Data Input'!$AN58/100,IF(AC10=0,0)))))))</f>
        <v>5.1975002537607693E-5</v>
      </c>
      <c r="AD225" s="275">
        <f>IF(AD8=2535,AD352,IF(AD8=535,AD352,IF(AD8=2536,AD359,IF(AD8=536,AD359,IF(AD10="D",'Raw Data Input'!$AN59/100,IF(AD10="F",'Raw Data Input'!$AN58/100,IF(AD10=0,0)))))))</f>
        <v>5.1395645614585662E-5</v>
      </c>
      <c r="AE225" s="275">
        <f>IF(AE8=2535,AE352,IF(AE8=535,AE352,IF(AE8=2536,AE359,IF(AE8=536,AE359,IF(AE10="D",'Raw Data Input'!$AN59/100,IF(AE10="F",'Raw Data Input'!$AN58/100,IF(AE10=0,0)))))))</f>
        <v>5.505293279724142E-5</v>
      </c>
      <c r="AF225" s="275">
        <f>IF(AF8=2535,AF352,IF(AF8=535,AF352,IF(AF8=2536,AF359,IF(AF8=536,AF359,IF(AF10="D",'Raw Data Input'!$AN59/100,IF(AF10="F",'Raw Data Input'!$AN58/100,IF(AF10=0,0)))))))</f>
        <v>5.2133825194359483E-5</v>
      </c>
      <c r="AG225" s="275"/>
    </row>
    <row r="226" spans="1:33" x14ac:dyDescent="0.2">
      <c r="A226" s="198"/>
    </row>
    <row r="227" spans="1:33" ht="18" x14ac:dyDescent="0.2">
      <c r="A227" s="1" t="s">
        <v>36</v>
      </c>
    </row>
    <row r="228" spans="1:33" x14ac:dyDescent="0.2">
      <c r="A228" s="46" t="s">
        <v>37</v>
      </c>
      <c r="B228" s="233"/>
      <c r="C228" s="36">
        <f>(C14*C12*(1-C222)*C172)-(C164*C154*C172)</f>
        <v>3.8993668516201013E-16</v>
      </c>
      <c r="D228" s="36">
        <f t="shared" ref="D228:AF228" si="109">(D14*D12*(1-D222)*D172)-(D164*D154*D172)</f>
        <v>2.7553947041645563E-16</v>
      </c>
      <c r="E228" s="36">
        <f t="shared" si="109"/>
        <v>4.2590244343591062E-16</v>
      </c>
      <c r="F228" s="36">
        <f t="shared" si="109"/>
        <v>1.3243108936516747E-15</v>
      </c>
      <c r="G228" s="36">
        <f t="shared" si="109"/>
        <v>1.1886757252592432E-15</v>
      </c>
      <c r="H228" s="36">
        <f t="shared" si="109"/>
        <v>5.7441581034423537E-16</v>
      </c>
      <c r="I228" s="36">
        <f t="shared" si="109"/>
        <v>4.6519760905600149E-16</v>
      </c>
      <c r="J228" s="36">
        <f t="shared" si="109"/>
        <v>4.5967709997986328E-16</v>
      </c>
      <c r="K228" s="36">
        <f t="shared" si="109"/>
        <v>2.2385611611956316E-17</v>
      </c>
      <c r="L228" s="36">
        <f t="shared" si="109"/>
        <v>2.717646722738877E-17</v>
      </c>
      <c r="M228" s="36">
        <f t="shared" si="109"/>
        <v>2.664582071950182E-17</v>
      </c>
      <c r="N228" s="36">
        <f t="shared" si="109"/>
        <v>3.1299718133811601E-17</v>
      </c>
      <c r="O228" s="36">
        <f t="shared" si="109"/>
        <v>2.2869564697860511E-17</v>
      </c>
      <c r="P228" s="36">
        <f t="shared" si="109"/>
        <v>2.1528123136568313E-17</v>
      </c>
      <c r="Q228" s="36">
        <f t="shared" si="109"/>
        <v>1.6695468017719165E-17</v>
      </c>
      <c r="R228" s="36">
        <f t="shared" si="109"/>
        <v>3.2219962363731197E-17</v>
      </c>
      <c r="S228" s="36">
        <f t="shared" si="109"/>
        <v>3.4074420764399244E-17</v>
      </c>
      <c r="T228" s="36">
        <f t="shared" si="109"/>
        <v>4.0060274488437654E-17</v>
      </c>
      <c r="U228" s="36">
        <f t="shared" si="109"/>
        <v>4.2428888989776592E-17</v>
      </c>
      <c r="V228" s="36">
        <f t="shared" si="109"/>
        <v>2.258875543845303E-17</v>
      </c>
      <c r="W228" s="36">
        <f t="shared" si="109"/>
        <v>3.011292712142164E-17</v>
      </c>
      <c r="X228" s="36">
        <f t="shared" si="109"/>
        <v>2.8808291164296918E-17</v>
      </c>
      <c r="Y228" s="36">
        <f t="shared" si="109"/>
        <v>3.7540166800142742E-17</v>
      </c>
      <c r="Z228" s="36">
        <f t="shared" si="109"/>
        <v>3.4124830576234837E-17</v>
      </c>
      <c r="AA228" s="36">
        <f t="shared" si="109"/>
        <v>9.3301722009141476E-17</v>
      </c>
      <c r="AB228" s="36">
        <f t="shared" si="109"/>
        <v>8.267522818014583E-17</v>
      </c>
      <c r="AC228" s="36">
        <f t="shared" si="109"/>
        <v>4.7661614416923932E-17</v>
      </c>
      <c r="AD228" s="36">
        <f t="shared" si="109"/>
        <v>2.1296305383646118E-16</v>
      </c>
      <c r="AE228" s="36">
        <f t="shared" si="109"/>
        <v>1.9368193688288407E-16</v>
      </c>
      <c r="AF228" s="36">
        <f t="shared" si="109"/>
        <v>3.0566139803216169E-16</v>
      </c>
      <c r="AG228" s="36"/>
    </row>
    <row r="229" spans="1:33" x14ac:dyDescent="0.2">
      <c r="A229" s="46" t="s">
        <v>38</v>
      </c>
      <c r="B229" s="233"/>
      <c r="C229" s="36">
        <f t="shared" ref="C229:AF229" si="110">IF(C228&gt;(C211*0.000000000001)/C208*(1/(1+C198+C200+C202)),(C211*0.000000000001)/C208*(1/(1+C198+C200+C202)),C228)</f>
        <v>3.3391476409199832E-17</v>
      </c>
      <c r="D229" s="36">
        <f t="shared" si="110"/>
        <v>3.3391476409199832E-17</v>
      </c>
      <c r="E229" s="36">
        <f t="shared" si="110"/>
        <v>3.3391476409199832E-17</v>
      </c>
      <c r="F229" s="36">
        <f t="shared" si="110"/>
        <v>3.3391476409199832E-17</v>
      </c>
      <c r="G229" s="36">
        <f t="shared" si="110"/>
        <v>3.3391476409199832E-17</v>
      </c>
      <c r="H229" s="36">
        <f t="shared" si="110"/>
        <v>3.3391476409199832E-17</v>
      </c>
      <c r="I229" s="36">
        <f t="shared" si="110"/>
        <v>3.3391476409199832E-17</v>
      </c>
      <c r="J229" s="36">
        <f t="shared" si="110"/>
        <v>3.3391476409199832E-17</v>
      </c>
      <c r="K229" s="36">
        <f t="shared" si="110"/>
        <v>2.2385611611956316E-17</v>
      </c>
      <c r="L229" s="36">
        <f t="shared" si="110"/>
        <v>2.717646722738877E-17</v>
      </c>
      <c r="M229" s="36">
        <f t="shared" si="110"/>
        <v>2.664582071950182E-17</v>
      </c>
      <c r="N229" s="36">
        <f t="shared" si="110"/>
        <v>3.1299718133811601E-17</v>
      </c>
      <c r="O229" s="36">
        <f t="shared" si="110"/>
        <v>2.2869564697860511E-17</v>
      </c>
      <c r="P229" s="36">
        <f t="shared" si="110"/>
        <v>2.1528123136568313E-17</v>
      </c>
      <c r="Q229" s="36">
        <f t="shared" si="110"/>
        <v>1.6695468017719165E-17</v>
      </c>
      <c r="R229" s="36">
        <f t="shared" si="110"/>
        <v>3.2219962363731197E-17</v>
      </c>
      <c r="S229" s="36">
        <f t="shared" si="110"/>
        <v>3.3391476409199832E-17</v>
      </c>
      <c r="T229" s="36">
        <f t="shared" si="110"/>
        <v>3.3391476409199832E-17</v>
      </c>
      <c r="U229" s="36">
        <f t="shared" si="110"/>
        <v>3.3391476409199832E-17</v>
      </c>
      <c r="V229" s="36">
        <f t="shared" si="110"/>
        <v>2.258875543845303E-17</v>
      </c>
      <c r="W229" s="36">
        <f t="shared" si="110"/>
        <v>3.011292712142164E-17</v>
      </c>
      <c r="X229" s="36">
        <f t="shared" si="110"/>
        <v>2.8808291164296918E-17</v>
      </c>
      <c r="Y229" s="36">
        <f t="shared" si="110"/>
        <v>3.3391476409199832E-17</v>
      </c>
      <c r="Z229" s="36">
        <f t="shared" si="110"/>
        <v>3.3391476409199832E-17</v>
      </c>
      <c r="AA229" s="36">
        <f t="shared" si="110"/>
        <v>3.3391476409199832E-17</v>
      </c>
      <c r="AB229" s="36">
        <f t="shared" si="110"/>
        <v>3.3391476409199832E-17</v>
      </c>
      <c r="AC229" s="36">
        <f t="shared" si="110"/>
        <v>3.3391476409199832E-17</v>
      </c>
      <c r="AD229" s="36">
        <f t="shared" si="110"/>
        <v>3.3391476409199832E-17</v>
      </c>
      <c r="AE229" s="36">
        <f t="shared" si="110"/>
        <v>3.3391476409199832E-17</v>
      </c>
      <c r="AF229" s="36">
        <f t="shared" si="110"/>
        <v>3.3391476409199832E-17</v>
      </c>
      <c r="AG229" s="36"/>
    </row>
    <row r="230" spans="1:33" x14ac:dyDescent="0.2">
      <c r="A230" s="198" t="s">
        <v>244</v>
      </c>
      <c r="B230" s="233"/>
      <c r="C230" s="36">
        <f t="shared" ref="C230:AF230" si="111">C229*C198</f>
        <v>6.0245551505100691E-16</v>
      </c>
      <c r="D230" s="36">
        <f t="shared" si="111"/>
        <v>6.0245551505100691E-16</v>
      </c>
      <c r="E230" s="36">
        <f t="shared" si="111"/>
        <v>6.0245551505100691E-16</v>
      </c>
      <c r="F230" s="36">
        <f t="shared" si="111"/>
        <v>6.0245551505100691E-16</v>
      </c>
      <c r="G230" s="36">
        <f t="shared" si="111"/>
        <v>6.0245551505100691E-16</v>
      </c>
      <c r="H230" s="36">
        <f t="shared" si="111"/>
        <v>6.0245551505100691E-16</v>
      </c>
      <c r="I230" s="36">
        <f t="shared" si="111"/>
        <v>6.0245551505100691E-16</v>
      </c>
      <c r="J230" s="36">
        <f t="shared" si="111"/>
        <v>6.0245551505100691E-16</v>
      </c>
      <c r="K230" s="36">
        <f t="shared" si="111"/>
        <v>4.038855607384064E-16</v>
      </c>
      <c r="L230" s="36">
        <f t="shared" si="111"/>
        <v>4.9032311000876925E-16</v>
      </c>
      <c r="M230" s="36">
        <f t="shared" si="111"/>
        <v>4.8074908245451077E-16</v>
      </c>
      <c r="N230" s="36">
        <f t="shared" si="111"/>
        <v>5.6471560520940375E-16</v>
      </c>
      <c r="O230" s="36">
        <f t="shared" si="111"/>
        <v>4.1261713648713875E-16</v>
      </c>
      <c r="P230" s="36">
        <f t="shared" si="111"/>
        <v>3.8841458680603334E-16</v>
      </c>
      <c r="Q230" s="36">
        <f t="shared" si="111"/>
        <v>3.0122288276122504E-16</v>
      </c>
      <c r="R230" s="36">
        <f t="shared" si="111"/>
        <v>5.8131883067673228E-16</v>
      </c>
      <c r="S230" s="36">
        <f t="shared" si="111"/>
        <v>6.0245551505100691E-16</v>
      </c>
      <c r="T230" s="36">
        <f t="shared" si="111"/>
        <v>6.0245551505100691E-16</v>
      </c>
      <c r="U230" s="36">
        <f t="shared" si="111"/>
        <v>6.0245551505100691E-16</v>
      </c>
      <c r="V230" s="36">
        <f t="shared" si="111"/>
        <v>4.0755072118599272E-16</v>
      </c>
      <c r="W230" s="36">
        <f t="shared" si="111"/>
        <v>5.4330329082517629E-16</v>
      </c>
      <c r="X230" s="36">
        <f t="shared" si="111"/>
        <v>5.197647950164948E-16</v>
      </c>
      <c r="Y230" s="36">
        <f t="shared" si="111"/>
        <v>6.0245551505100691E-16</v>
      </c>
      <c r="Z230" s="36">
        <f t="shared" si="111"/>
        <v>6.0245551505100691E-16</v>
      </c>
      <c r="AA230" s="36">
        <f t="shared" si="111"/>
        <v>6.0245551505100691E-16</v>
      </c>
      <c r="AB230" s="36">
        <f t="shared" si="111"/>
        <v>6.0245551505100691E-16</v>
      </c>
      <c r="AC230" s="36">
        <f t="shared" si="111"/>
        <v>6.0245551505100691E-16</v>
      </c>
      <c r="AD230" s="36">
        <f t="shared" si="111"/>
        <v>6.0245551505100691E-16</v>
      </c>
      <c r="AE230" s="36">
        <f t="shared" si="111"/>
        <v>6.0245551505100691E-16</v>
      </c>
      <c r="AF230" s="36">
        <f t="shared" si="111"/>
        <v>6.0245551505100691E-16</v>
      </c>
      <c r="AG230" s="36"/>
    </row>
    <row r="231" spans="1:33" x14ac:dyDescent="0.2">
      <c r="A231" s="198" t="s">
        <v>245</v>
      </c>
      <c r="B231" s="233"/>
      <c r="C231" s="36">
        <f>C229*C200</f>
        <v>5.1880677749443718E-16</v>
      </c>
      <c r="D231" s="36">
        <f t="shared" ref="D231:AF231" si="112">D229*D200</f>
        <v>5.1880677749443718E-16</v>
      </c>
      <c r="E231" s="36">
        <f t="shared" si="112"/>
        <v>5.1880677749443718E-16</v>
      </c>
      <c r="F231" s="36">
        <f t="shared" si="112"/>
        <v>5.1880677749443718E-16</v>
      </c>
      <c r="G231" s="36">
        <f t="shared" si="112"/>
        <v>5.1880677749443718E-16</v>
      </c>
      <c r="H231" s="36">
        <f t="shared" si="112"/>
        <v>5.1880677749443718E-16</v>
      </c>
      <c r="I231" s="36">
        <f t="shared" si="112"/>
        <v>5.1880677749443718E-16</v>
      </c>
      <c r="J231" s="36">
        <f t="shared" si="112"/>
        <v>5.1880677749443718E-16</v>
      </c>
      <c r="K231" s="36">
        <f t="shared" si="112"/>
        <v>3.4780753268643547E-16</v>
      </c>
      <c r="L231" s="36">
        <f t="shared" si="112"/>
        <v>4.2224354542287267E-16</v>
      </c>
      <c r="M231" s="36">
        <f t="shared" si="112"/>
        <v>4.1399883646266461E-16</v>
      </c>
      <c r="N231" s="36">
        <f t="shared" si="112"/>
        <v>4.8630691564788236E-16</v>
      </c>
      <c r="O231" s="36">
        <f t="shared" si="112"/>
        <v>3.553267611829409E-16</v>
      </c>
      <c r="P231" s="36">
        <f t="shared" si="112"/>
        <v>3.344846467138913E-16</v>
      </c>
      <c r="Q231" s="36">
        <f t="shared" si="112"/>
        <v>2.593991908260723E-16</v>
      </c>
      <c r="R231" s="36">
        <f t="shared" si="112"/>
        <v>5.006048441845462E-16</v>
      </c>
      <c r="S231" s="36">
        <f t="shared" si="112"/>
        <v>5.1880677749443718E-16</v>
      </c>
      <c r="T231" s="36">
        <f t="shared" si="112"/>
        <v>5.1880677749443718E-16</v>
      </c>
      <c r="U231" s="36">
        <f t="shared" si="112"/>
        <v>5.1880677749443718E-16</v>
      </c>
      <c r="V231" s="36">
        <f t="shared" si="112"/>
        <v>3.5096379905516699E-16</v>
      </c>
      <c r="W231" s="36">
        <f t="shared" si="112"/>
        <v>4.6786762254349728E-16</v>
      </c>
      <c r="X231" s="36">
        <f t="shared" si="112"/>
        <v>4.4759736050342874E-16</v>
      </c>
      <c r="Y231" s="36">
        <f t="shared" si="112"/>
        <v>5.1880677749443718E-16</v>
      </c>
      <c r="Z231" s="36">
        <f t="shared" si="112"/>
        <v>5.1880677749443718E-16</v>
      </c>
      <c r="AA231" s="36">
        <f t="shared" si="112"/>
        <v>5.1880677749443718E-16</v>
      </c>
      <c r="AB231" s="36">
        <f t="shared" si="112"/>
        <v>5.1880677749443718E-16</v>
      </c>
      <c r="AC231" s="36">
        <f t="shared" si="112"/>
        <v>5.1880677749443718E-16</v>
      </c>
      <c r="AD231" s="36">
        <f t="shared" si="112"/>
        <v>5.1880677749443718E-16</v>
      </c>
      <c r="AE231" s="36">
        <f t="shared" si="112"/>
        <v>5.1880677749443718E-16</v>
      </c>
      <c r="AF231" s="36">
        <f t="shared" si="112"/>
        <v>5.1880677749443718E-16</v>
      </c>
      <c r="AG231" s="36"/>
    </row>
    <row r="232" spans="1:33" x14ac:dyDescent="0.2">
      <c r="A232" s="198" t="s">
        <v>246</v>
      </c>
      <c r="B232" s="233"/>
      <c r="C232" s="36">
        <f>C229*C202</f>
        <v>1.2584014223819342E-15</v>
      </c>
      <c r="D232" s="36">
        <f t="shared" ref="D232:AF232" si="113">D229*D202</f>
        <v>1.2584014223819342E-15</v>
      </c>
      <c r="E232" s="36">
        <f t="shared" si="113"/>
        <v>1.2584014223819342E-15</v>
      </c>
      <c r="F232" s="36">
        <f t="shared" si="113"/>
        <v>1.2584014223819342E-15</v>
      </c>
      <c r="G232" s="36">
        <f t="shared" si="113"/>
        <v>1.2584014223819342E-15</v>
      </c>
      <c r="H232" s="36">
        <f t="shared" si="113"/>
        <v>1.2584014223819342E-15</v>
      </c>
      <c r="I232" s="36">
        <f t="shared" si="113"/>
        <v>1.2584014223819342E-15</v>
      </c>
      <c r="J232" s="36">
        <f t="shared" si="113"/>
        <v>1.2584014223819342E-15</v>
      </c>
      <c r="K232" s="36">
        <f t="shared" si="113"/>
        <v>8.4363102571930919E-16</v>
      </c>
      <c r="L232" s="36">
        <f t="shared" si="113"/>
        <v>1.0241806799785515E-15</v>
      </c>
      <c r="M232" s="36">
        <f t="shared" si="113"/>
        <v>1.0041825729130322E-15</v>
      </c>
      <c r="N232" s="36">
        <f t="shared" si="113"/>
        <v>1.1795707783945211E-15</v>
      </c>
      <c r="O232" s="36">
        <f t="shared" si="113"/>
        <v>8.6186943016135346E-16</v>
      </c>
      <c r="P232" s="36">
        <f t="shared" si="113"/>
        <v>8.1131545201179022E-16</v>
      </c>
      <c r="Q232" s="36">
        <f t="shared" si="113"/>
        <v>6.2919052884530256E-16</v>
      </c>
      <c r="R232" s="36">
        <f t="shared" si="113"/>
        <v>1.2142513847168738E-15</v>
      </c>
      <c r="S232" s="36">
        <f t="shared" si="113"/>
        <v>1.2584014223819342E-15</v>
      </c>
      <c r="T232" s="36">
        <f t="shared" si="113"/>
        <v>1.2584014223819342E-15</v>
      </c>
      <c r="U232" s="36">
        <f t="shared" si="113"/>
        <v>1.2584014223819342E-15</v>
      </c>
      <c r="V232" s="36">
        <f t="shared" si="113"/>
        <v>8.5128676627653537E-16</v>
      </c>
      <c r="W232" s="36">
        <f t="shared" si="113"/>
        <v>1.1348450082680421E-15</v>
      </c>
      <c r="X232" s="36">
        <f t="shared" si="113"/>
        <v>1.0856780974068009E-15</v>
      </c>
      <c r="Y232" s="36">
        <f t="shared" si="113"/>
        <v>1.2584014223819342E-15</v>
      </c>
      <c r="Z232" s="36">
        <f t="shared" si="113"/>
        <v>1.2584014223819342E-15</v>
      </c>
      <c r="AA232" s="36">
        <f t="shared" si="113"/>
        <v>1.2584014223819342E-15</v>
      </c>
      <c r="AB232" s="36">
        <f t="shared" si="113"/>
        <v>1.2584014223819342E-15</v>
      </c>
      <c r="AC232" s="36">
        <f t="shared" si="113"/>
        <v>1.2584014223819342E-15</v>
      </c>
      <c r="AD232" s="36">
        <f t="shared" si="113"/>
        <v>1.2584014223819342E-15</v>
      </c>
      <c r="AE232" s="36">
        <f t="shared" si="113"/>
        <v>1.2584014223819342E-15</v>
      </c>
      <c r="AF232" s="36">
        <f t="shared" si="113"/>
        <v>1.2584014223819342E-15</v>
      </c>
      <c r="AG232" s="36"/>
    </row>
    <row r="233" spans="1:33" x14ac:dyDescent="0.2">
      <c r="A233" s="46" t="s">
        <v>198</v>
      </c>
      <c r="B233" s="233"/>
      <c r="C233" s="36">
        <f>C228-C229</f>
        <v>3.5654520875281029E-16</v>
      </c>
      <c r="D233" s="36">
        <f t="shared" ref="D233:AF233" si="114">D228-D229</f>
        <v>2.4214799400725579E-16</v>
      </c>
      <c r="E233" s="36">
        <f t="shared" si="114"/>
        <v>3.9251096702671079E-16</v>
      </c>
      <c r="F233" s="36">
        <f t="shared" si="114"/>
        <v>1.2909194172424748E-15</v>
      </c>
      <c r="G233" s="36">
        <f t="shared" si="114"/>
        <v>1.1552842488500433E-15</v>
      </c>
      <c r="H233" s="36">
        <f t="shared" si="114"/>
        <v>5.4102433393503558E-16</v>
      </c>
      <c r="I233" s="36">
        <f t="shared" si="114"/>
        <v>4.3180613264680166E-16</v>
      </c>
      <c r="J233" s="36">
        <f t="shared" si="114"/>
        <v>4.2628562357066344E-16</v>
      </c>
      <c r="K233" s="36">
        <f t="shared" si="114"/>
        <v>0</v>
      </c>
      <c r="L233" s="36">
        <f t="shared" si="114"/>
        <v>0</v>
      </c>
      <c r="M233" s="36">
        <f t="shared" si="114"/>
        <v>0</v>
      </c>
      <c r="N233" s="36">
        <f t="shared" si="114"/>
        <v>0</v>
      </c>
      <c r="O233" s="36">
        <f t="shared" si="114"/>
        <v>0</v>
      </c>
      <c r="P233" s="36">
        <f t="shared" si="114"/>
        <v>0</v>
      </c>
      <c r="Q233" s="36">
        <f t="shared" si="114"/>
        <v>0</v>
      </c>
      <c r="R233" s="36">
        <f t="shared" si="114"/>
        <v>0</v>
      </c>
      <c r="S233" s="36">
        <f t="shared" si="114"/>
        <v>6.8294435519941192E-19</v>
      </c>
      <c r="T233" s="36">
        <f t="shared" si="114"/>
        <v>6.6687980792378213E-18</v>
      </c>
      <c r="U233" s="36">
        <f t="shared" si="114"/>
        <v>9.0374125805767599E-18</v>
      </c>
      <c r="V233" s="36">
        <f t="shared" si="114"/>
        <v>0</v>
      </c>
      <c r="W233" s="36">
        <f t="shared" si="114"/>
        <v>0</v>
      </c>
      <c r="X233" s="36">
        <f t="shared" si="114"/>
        <v>0</v>
      </c>
      <c r="Y233" s="36">
        <f t="shared" si="114"/>
        <v>4.1486903909429097E-18</v>
      </c>
      <c r="Z233" s="36">
        <f t="shared" si="114"/>
        <v>7.3335416703500467E-19</v>
      </c>
      <c r="AA233" s="36">
        <f t="shared" si="114"/>
        <v>5.9910245599941638E-17</v>
      </c>
      <c r="AB233" s="36">
        <f t="shared" si="114"/>
        <v>4.9283751770945998E-17</v>
      </c>
      <c r="AC233" s="36">
        <f t="shared" si="114"/>
        <v>1.42701380077241E-17</v>
      </c>
      <c r="AD233" s="36">
        <f t="shared" si="114"/>
        <v>1.7957157742726134E-16</v>
      </c>
      <c r="AE233" s="36">
        <f t="shared" si="114"/>
        <v>1.6029046047368423E-16</v>
      </c>
      <c r="AF233" s="36">
        <f t="shared" si="114"/>
        <v>2.7226992162296185E-16</v>
      </c>
      <c r="AG233" s="36"/>
    </row>
    <row r="234" spans="1:33" x14ac:dyDescent="0.2">
      <c r="A234" s="198" t="s">
        <v>247</v>
      </c>
      <c r="B234" s="233"/>
      <c r="C234" s="36">
        <f t="shared" ref="C234:AF234" si="115">C233*C185</f>
        <v>6.6211207558445399E-15</v>
      </c>
      <c r="D234" s="36">
        <f t="shared" si="115"/>
        <v>4.4967400199145811E-15</v>
      </c>
      <c r="E234" s="36">
        <f t="shared" si="115"/>
        <v>7.2890125764638608E-15</v>
      </c>
      <c r="F234" s="36">
        <f t="shared" si="115"/>
        <v>2.3972649576544105E-14</v>
      </c>
      <c r="G234" s="36">
        <f t="shared" si="115"/>
        <v>2.1453875500720772E-14</v>
      </c>
      <c r="H234" s="36">
        <f t="shared" si="115"/>
        <v>1.0046937552083981E-14</v>
      </c>
      <c r="I234" s="36">
        <f t="shared" si="115"/>
        <v>8.0187322033286582E-15</v>
      </c>
      <c r="J234" s="36">
        <f t="shared" si="115"/>
        <v>7.9162151695008727E-15</v>
      </c>
      <c r="K234" s="36">
        <f t="shared" si="115"/>
        <v>0</v>
      </c>
      <c r="L234" s="36">
        <f t="shared" si="115"/>
        <v>0</v>
      </c>
      <c r="M234" s="36">
        <f t="shared" si="115"/>
        <v>0</v>
      </c>
      <c r="N234" s="36">
        <f t="shared" si="115"/>
        <v>0</v>
      </c>
      <c r="O234" s="36">
        <f t="shared" si="115"/>
        <v>0</v>
      </c>
      <c r="P234" s="36">
        <f t="shared" si="115"/>
        <v>0</v>
      </c>
      <c r="Q234" s="36">
        <f t="shared" si="115"/>
        <v>0</v>
      </c>
      <c r="R234" s="36">
        <f t="shared" si="115"/>
        <v>0</v>
      </c>
      <c r="S234" s="36">
        <f t="shared" si="115"/>
        <v>1.2682422689439804E-17</v>
      </c>
      <c r="T234" s="36">
        <f t="shared" si="115"/>
        <v>1.238410061193389E-16</v>
      </c>
      <c r="U234" s="36">
        <f t="shared" si="115"/>
        <v>1.6782668381857959E-16</v>
      </c>
      <c r="V234" s="36">
        <f t="shared" si="115"/>
        <v>0</v>
      </c>
      <c r="W234" s="36">
        <f t="shared" si="115"/>
        <v>0</v>
      </c>
      <c r="X234" s="36">
        <f t="shared" si="115"/>
        <v>0</v>
      </c>
      <c r="Y234" s="36">
        <f t="shared" si="115"/>
        <v>7.7042067549108207E-17</v>
      </c>
      <c r="Z234" s="36">
        <f t="shared" si="115"/>
        <v>1.3618543672835938E-17</v>
      </c>
      <c r="AA234" s="36">
        <f t="shared" si="115"/>
        <v>1.1125460695912129E-15</v>
      </c>
      <c r="AB234" s="36">
        <f t="shared" si="115"/>
        <v>9.1520980724419466E-16</v>
      </c>
      <c r="AC234" s="36">
        <f t="shared" si="115"/>
        <v>2.6499951375651003E-16</v>
      </c>
      <c r="AD234" s="36">
        <f t="shared" si="115"/>
        <v>3.3346825851968866E-15</v>
      </c>
      <c r="AE234" s="36">
        <f t="shared" si="115"/>
        <v>2.9766281210694413E-15</v>
      </c>
      <c r="AF234" s="36">
        <f t="shared" si="115"/>
        <v>5.0561106558012317E-15</v>
      </c>
      <c r="AG234" s="36"/>
    </row>
    <row r="235" spans="1:33" x14ac:dyDescent="0.2">
      <c r="A235" s="198" t="s">
        <v>248</v>
      </c>
      <c r="B235" s="233"/>
      <c r="C235" s="36">
        <f>C233*C187</f>
        <v>5.5701904245901164E-15</v>
      </c>
      <c r="D235" s="36">
        <f t="shared" ref="D235:AF235" si="116">D233*D187</f>
        <v>3.7829997555458375E-15</v>
      </c>
      <c r="E235" s="36">
        <f t="shared" si="116"/>
        <v>6.1320718282168146E-15</v>
      </c>
      <c r="F235" s="36">
        <f t="shared" si="116"/>
        <v>2.0167616336773474E-14</v>
      </c>
      <c r="G235" s="36">
        <f t="shared" si="116"/>
        <v>1.8048631990132091E-14</v>
      </c>
      <c r="H235" s="36">
        <f t="shared" si="116"/>
        <v>8.4522481031135918E-15</v>
      </c>
      <c r="I235" s="36">
        <f t="shared" si="116"/>
        <v>6.7459674854754196E-15</v>
      </c>
      <c r="J235" s="36">
        <f t="shared" si="116"/>
        <v>6.6597223585184984E-15</v>
      </c>
      <c r="K235" s="36">
        <f t="shared" si="116"/>
        <v>0</v>
      </c>
      <c r="L235" s="36">
        <f t="shared" si="116"/>
        <v>0</v>
      </c>
      <c r="M235" s="36">
        <f t="shared" si="116"/>
        <v>0</v>
      </c>
      <c r="N235" s="36">
        <f t="shared" si="116"/>
        <v>0</v>
      </c>
      <c r="O235" s="36">
        <f t="shared" si="116"/>
        <v>0</v>
      </c>
      <c r="P235" s="36">
        <f t="shared" si="116"/>
        <v>0</v>
      </c>
      <c r="Q235" s="36">
        <f t="shared" si="116"/>
        <v>0</v>
      </c>
      <c r="R235" s="36">
        <f t="shared" si="116"/>
        <v>0</v>
      </c>
      <c r="S235" s="36">
        <f t="shared" si="116"/>
        <v>1.0669418672505584E-17</v>
      </c>
      <c r="T235" s="36">
        <f t="shared" si="116"/>
        <v>1.0418447448623212E-16</v>
      </c>
      <c r="U235" s="36">
        <f t="shared" si="116"/>
        <v>1.4118857239868082E-16</v>
      </c>
      <c r="V235" s="36">
        <f t="shared" si="116"/>
        <v>0</v>
      </c>
      <c r="W235" s="36">
        <f t="shared" si="116"/>
        <v>0</v>
      </c>
      <c r="X235" s="36">
        <f t="shared" si="116"/>
        <v>0</v>
      </c>
      <c r="Y235" s="36">
        <f t="shared" si="116"/>
        <v>6.4813647534499583E-17</v>
      </c>
      <c r="Z235" s="36">
        <f t="shared" si="116"/>
        <v>1.1456954851085056E-17</v>
      </c>
      <c r="AA235" s="36">
        <f t="shared" si="116"/>
        <v>9.3595838110671764E-16</v>
      </c>
      <c r="AB235" s="36">
        <f t="shared" si="116"/>
        <v>7.6994410656271599E-16</v>
      </c>
      <c r="AC235" s="36">
        <f t="shared" si="116"/>
        <v>2.2293774852914142E-16</v>
      </c>
      <c r="AD235" s="36">
        <f t="shared" si="116"/>
        <v>2.8053886479437645E-15</v>
      </c>
      <c r="AE235" s="36">
        <f t="shared" si="116"/>
        <v>2.5041659968081648E-15</v>
      </c>
      <c r="AF235" s="36">
        <f t="shared" si="116"/>
        <v>4.2535848837603255E-15</v>
      </c>
      <c r="AG235" s="36"/>
    </row>
    <row r="236" spans="1:33" x14ac:dyDescent="0.2">
      <c r="A236" s="198" t="s">
        <v>249</v>
      </c>
      <c r="B236" s="233"/>
      <c r="C236" s="36">
        <f>C233*C189</f>
        <v>1.3717982927746758E-14</v>
      </c>
      <c r="D236" s="36">
        <f t="shared" ref="D236:AF236" si="117">D233*D189</f>
        <v>9.3165802434961956E-15</v>
      </c>
      <c r="E236" s="36">
        <f t="shared" si="117"/>
        <v>1.5101755997396639E-14</v>
      </c>
      <c r="F236" s="36">
        <f t="shared" si="117"/>
        <v>4.9667784314853685E-14</v>
      </c>
      <c r="G236" s="36">
        <f t="shared" si="117"/>
        <v>4.444925696198888E-14</v>
      </c>
      <c r="H236" s="36">
        <f t="shared" si="117"/>
        <v>2.081576864369484E-14</v>
      </c>
      <c r="I236" s="36">
        <f t="shared" si="117"/>
        <v>1.6613627137118242E-14</v>
      </c>
      <c r="J236" s="36">
        <f t="shared" si="117"/>
        <v>1.6401227005522479E-14</v>
      </c>
      <c r="K236" s="36">
        <f t="shared" si="117"/>
        <v>0</v>
      </c>
      <c r="L236" s="36">
        <f t="shared" si="117"/>
        <v>0</v>
      </c>
      <c r="M236" s="36">
        <f t="shared" si="117"/>
        <v>0</v>
      </c>
      <c r="N236" s="36">
        <f t="shared" si="117"/>
        <v>0</v>
      </c>
      <c r="O236" s="36">
        <f t="shared" si="117"/>
        <v>0</v>
      </c>
      <c r="P236" s="36">
        <f t="shared" si="117"/>
        <v>0</v>
      </c>
      <c r="Q236" s="36">
        <f t="shared" si="117"/>
        <v>0</v>
      </c>
      <c r="R236" s="36">
        <f t="shared" si="117"/>
        <v>0</v>
      </c>
      <c r="S236" s="36">
        <f t="shared" si="117"/>
        <v>2.6276104054231546E-17</v>
      </c>
      <c r="T236" s="36">
        <f t="shared" si="117"/>
        <v>2.5658024832132522E-16</v>
      </c>
      <c r="U236" s="36">
        <f t="shared" si="117"/>
        <v>3.4771206693540683E-16</v>
      </c>
      <c r="V236" s="36">
        <f t="shared" si="117"/>
        <v>0</v>
      </c>
      <c r="W236" s="36">
        <f t="shared" si="117"/>
        <v>0</v>
      </c>
      <c r="X236" s="36">
        <f t="shared" si="117"/>
        <v>0</v>
      </c>
      <c r="Y236" s="36">
        <f t="shared" si="117"/>
        <v>1.5961976927004009E-16</v>
      </c>
      <c r="Z236" s="36">
        <f t="shared" si="117"/>
        <v>2.8215608277470211E-17</v>
      </c>
      <c r="AA236" s="36">
        <f t="shared" si="117"/>
        <v>2.3050309081755033E-15</v>
      </c>
      <c r="AB236" s="36">
        <f t="shared" si="117"/>
        <v>1.8961793590609215E-15</v>
      </c>
      <c r="AC236" s="36">
        <f t="shared" si="117"/>
        <v>5.4903979849092948E-16</v>
      </c>
      <c r="AD236" s="36">
        <f t="shared" si="117"/>
        <v>6.9089691096187255E-15</v>
      </c>
      <c r="AE236" s="36">
        <f t="shared" si="117"/>
        <v>6.1671332169916181E-15</v>
      </c>
      <c r="AF236" s="36">
        <f t="shared" si="117"/>
        <v>1.0475513468902559E-14</v>
      </c>
      <c r="AG236" s="36"/>
    </row>
    <row r="237" spans="1:33" x14ac:dyDescent="0.2">
      <c r="A237" s="198" t="s">
        <v>473</v>
      </c>
      <c r="B237" s="233"/>
      <c r="C237" s="36">
        <f>C12*(1+C222)*C172</f>
        <v>2.4710557910538131E-14</v>
      </c>
      <c r="D237" s="36">
        <f t="shared" ref="D237:AF237" si="118">D12*(1+D222)*D172</f>
        <v>6.5298355638958365E-15</v>
      </c>
      <c r="E237" s="36">
        <f t="shared" si="118"/>
        <v>1.0357537279786236E-14</v>
      </c>
      <c r="F237" s="36">
        <f t="shared" si="118"/>
        <v>2.8011877505201836E-14</v>
      </c>
      <c r="G237" s="36">
        <f t="shared" si="118"/>
        <v>2.7277446897004945E-14</v>
      </c>
      <c r="H237" s="36">
        <f t="shared" si="118"/>
        <v>1.3201662565369824E-14</v>
      </c>
      <c r="I237" s="36">
        <f t="shared" si="118"/>
        <v>1.2224197296091758E-14</v>
      </c>
      <c r="J237" s="36">
        <f t="shared" si="118"/>
        <v>1.1625833614951551E-14</v>
      </c>
      <c r="K237" s="36">
        <f t="shared" si="118"/>
        <v>7.3067217969352256E-14</v>
      </c>
      <c r="L237" s="36">
        <f t="shared" si="118"/>
        <v>5.2068724896405835E-14</v>
      </c>
      <c r="M237" s="36">
        <f t="shared" si="118"/>
        <v>4.8123876429686127E-14</v>
      </c>
      <c r="N237" s="36">
        <f t="shared" si="118"/>
        <v>7.4948090920988937E-14</v>
      </c>
      <c r="O237" s="36">
        <f t="shared" si="118"/>
        <v>1.9796820175694419E-14</v>
      </c>
      <c r="P237" s="36">
        <f t="shared" si="118"/>
        <v>4.0540799783706739E-14</v>
      </c>
      <c r="Q237" s="36">
        <f t="shared" si="118"/>
        <v>8.1101545519169417E-15</v>
      </c>
      <c r="R237" s="36">
        <f t="shared" si="118"/>
        <v>8.2914927687540349E-15</v>
      </c>
      <c r="S237" s="36">
        <f t="shared" si="118"/>
        <v>8.054273518525925E-15</v>
      </c>
      <c r="T237" s="36">
        <f t="shared" si="118"/>
        <v>7.3469526542235277E-15</v>
      </c>
      <c r="U237" s="36">
        <f t="shared" si="118"/>
        <v>4.5214751869107248E-15</v>
      </c>
      <c r="V237" s="36">
        <f t="shared" si="118"/>
        <v>2.3713649228008383E-15</v>
      </c>
      <c r="W237" s="36">
        <f t="shared" si="118"/>
        <v>2.2706031039968041E-15</v>
      </c>
      <c r="X237" s="36">
        <f t="shared" si="118"/>
        <v>7.5748615265953236E-15</v>
      </c>
      <c r="Y237" s="36">
        <f t="shared" si="118"/>
        <v>5.3156279806719473E-15</v>
      </c>
      <c r="Z237" s="36">
        <f t="shared" si="118"/>
        <v>4.7636151811018525E-15</v>
      </c>
      <c r="AA237" s="36">
        <f t="shared" si="118"/>
        <v>5.3961378314653435E-12</v>
      </c>
      <c r="AB237" s="36">
        <f t="shared" si="118"/>
        <v>6.6419291219779656E-12</v>
      </c>
      <c r="AC237" s="36">
        <f t="shared" si="118"/>
        <v>3.1021056863107909E-12</v>
      </c>
      <c r="AD237" s="36">
        <f t="shared" si="118"/>
        <v>7.6069892526271455E-12</v>
      </c>
      <c r="AE237" s="36">
        <f t="shared" si="118"/>
        <v>6.8437065351515972E-12</v>
      </c>
      <c r="AF237" s="36">
        <f t="shared" si="118"/>
        <v>6.9802224151036068E-12</v>
      </c>
      <c r="AG237" s="36"/>
    </row>
    <row r="238" spans="1:33" x14ac:dyDescent="0.2">
      <c r="A238" s="198" t="s">
        <v>250</v>
      </c>
      <c r="B238" s="234"/>
      <c r="C238" s="80">
        <f t="shared" ref="C238:AF238" si="119">(C133/C237)</f>
        <v>0.69009461633011659</v>
      </c>
      <c r="D238" s="80">
        <f t="shared" si="119"/>
        <v>0.16096934237572263</v>
      </c>
      <c r="E238" s="80">
        <f t="shared" si="119"/>
        <v>0.20389354003713961</v>
      </c>
      <c r="F238" s="80">
        <f t="shared" si="119"/>
        <v>0.10823741730614587</v>
      </c>
      <c r="G238" s="80">
        <f t="shared" si="119"/>
        <v>0.17161908080494784</v>
      </c>
      <c r="H238" s="80">
        <f t="shared" si="119"/>
        <v>0.16074701978027825</v>
      </c>
      <c r="I238" s="80">
        <f t="shared" si="119"/>
        <v>0.26818078705668424</v>
      </c>
      <c r="J238" s="80">
        <f t="shared" si="119"/>
        <v>0.23606862323586253</v>
      </c>
      <c r="K238" s="80">
        <f t="shared" si="119"/>
        <v>0.99361059976657051</v>
      </c>
      <c r="L238" s="80">
        <f t="shared" si="119"/>
        <v>0.98970361621750391</v>
      </c>
      <c r="M238" s="80">
        <f t="shared" si="119"/>
        <v>0.98921714455600396</v>
      </c>
      <c r="N238" s="80">
        <f t="shared" si="119"/>
        <v>0.99172053565603902</v>
      </c>
      <c r="O238" s="80">
        <f t="shared" si="119"/>
        <v>0.9778802556457824</v>
      </c>
      <c r="P238" s="80">
        <f t="shared" si="119"/>
        <v>0.98948956944449173</v>
      </c>
      <c r="Q238" s="80">
        <f t="shared" si="119"/>
        <v>0.95727056757962703</v>
      </c>
      <c r="R238" s="80">
        <f t="shared" si="119"/>
        <v>0.92512447970088885</v>
      </c>
      <c r="S238" s="80">
        <f t="shared" si="119"/>
        <v>0.91853518235121989</v>
      </c>
      <c r="T238" s="80">
        <f t="shared" si="119"/>
        <v>0.89312708010250719</v>
      </c>
      <c r="U238" s="80">
        <f t="shared" si="119"/>
        <v>0.81776798686381291</v>
      </c>
      <c r="V238" s="80">
        <f t="shared" si="119"/>
        <v>0.80581623988147033</v>
      </c>
      <c r="W238" s="80">
        <f t="shared" si="119"/>
        <v>0.72657734973020149</v>
      </c>
      <c r="X238" s="80">
        <f t="shared" si="119"/>
        <v>0.92646211081861529</v>
      </c>
      <c r="Y238" s="80">
        <f t="shared" si="119"/>
        <v>0.86641979050748885</v>
      </c>
      <c r="Z238" s="80">
        <f t="shared" si="119"/>
        <v>0.85752516785978605</v>
      </c>
      <c r="AA238" s="80">
        <f t="shared" si="119"/>
        <v>0.99958058498094149</v>
      </c>
      <c r="AB238" s="80">
        <f t="shared" si="119"/>
        <v>0.99968451868860464</v>
      </c>
      <c r="AC238" s="80">
        <f t="shared" si="119"/>
        <v>0.99953412476483705</v>
      </c>
      <c r="AD238" s="80">
        <f t="shared" si="119"/>
        <v>0.99940759175684735</v>
      </c>
      <c r="AE238" s="80">
        <f t="shared" si="119"/>
        <v>0.99942156778520863</v>
      </c>
      <c r="AF238" s="80">
        <f t="shared" si="119"/>
        <v>0.99909509620247561</v>
      </c>
      <c r="AG238" s="37"/>
    </row>
    <row r="239" spans="1:33" x14ac:dyDescent="0.2">
      <c r="A239" s="198"/>
    </row>
    <row r="240" spans="1:33" ht="18" x14ac:dyDescent="0.2">
      <c r="A240" s="1" t="s">
        <v>1</v>
      </c>
    </row>
    <row r="241" spans="1:97" ht="18" x14ac:dyDescent="0.2">
      <c r="A241" s="49" t="s">
        <v>137</v>
      </c>
      <c r="B241" s="64"/>
      <c r="C241" s="528">
        <f>'Raw Data Input'!$AT64</f>
        <v>9.8484999999999996E-10</v>
      </c>
      <c r="D241" s="528">
        <f>'Raw Data Input'!$AT64</f>
        <v>9.8484999999999996E-10</v>
      </c>
      <c r="E241" s="528">
        <f>'Raw Data Input'!$AT64</f>
        <v>9.8484999999999996E-10</v>
      </c>
      <c r="F241" s="528">
        <f>'Raw Data Input'!$AT64</f>
        <v>9.8484999999999996E-10</v>
      </c>
      <c r="G241" s="528">
        <f>'Raw Data Input'!$AT64</f>
        <v>9.8484999999999996E-10</v>
      </c>
      <c r="H241" s="528">
        <f>'Raw Data Input'!$AT64</f>
        <v>9.8484999999999996E-10</v>
      </c>
      <c r="I241" s="528">
        <f>'Raw Data Input'!$AT64</f>
        <v>9.8484999999999996E-10</v>
      </c>
      <c r="J241" s="528">
        <f>'Raw Data Input'!$AT64</f>
        <v>9.8484999999999996E-10</v>
      </c>
      <c r="K241" s="528">
        <f>'Raw Data Input'!$AT64</f>
        <v>9.8484999999999996E-10</v>
      </c>
      <c r="L241" s="528">
        <f>'Raw Data Input'!$AT64</f>
        <v>9.8484999999999996E-10</v>
      </c>
      <c r="M241" s="528">
        <f>'Raw Data Input'!$AT64</f>
        <v>9.8484999999999996E-10</v>
      </c>
      <c r="N241" s="528">
        <f>'Raw Data Input'!$AT64</f>
        <v>9.8484999999999996E-10</v>
      </c>
      <c r="O241" s="528">
        <f>'Raw Data Input'!$AT64</f>
        <v>9.8484999999999996E-10</v>
      </c>
      <c r="P241" s="528">
        <f>'Raw Data Input'!$AT64</f>
        <v>9.8484999999999996E-10</v>
      </c>
      <c r="Q241" s="528">
        <f>'Raw Data Input'!$AT64</f>
        <v>9.8484999999999996E-10</v>
      </c>
      <c r="R241" s="528">
        <f>'Raw Data Input'!$AT64</f>
        <v>9.8484999999999996E-10</v>
      </c>
      <c r="S241" s="528">
        <f>'Raw Data Input'!$AT64</f>
        <v>9.8484999999999996E-10</v>
      </c>
      <c r="T241" s="528">
        <f>'Raw Data Input'!$AT64</f>
        <v>9.8484999999999996E-10</v>
      </c>
      <c r="U241" s="528">
        <f>'Raw Data Input'!$AT64</f>
        <v>9.8484999999999996E-10</v>
      </c>
      <c r="V241" s="528">
        <f>'Raw Data Input'!$AT64</f>
        <v>9.8484999999999996E-10</v>
      </c>
      <c r="W241" s="528">
        <f>'Raw Data Input'!$AT64</f>
        <v>9.8484999999999996E-10</v>
      </c>
      <c r="X241" s="528">
        <f>'Raw Data Input'!$AT64</f>
        <v>9.8484999999999996E-10</v>
      </c>
      <c r="Y241" s="528">
        <f>'Raw Data Input'!$AT64</f>
        <v>9.8484999999999996E-10</v>
      </c>
      <c r="Z241" s="528">
        <f>'Raw Data Input'!$AT64</f>
        <v>9.8484999999999996E-10</v>
      </c>
      <c r="AA241" s="528">
        <f>'Raw Data Input'!$AT64</f>
        <v>9.8484999999999996E-10</v>
      </c>
      <c r="AB241" s="528">
        <f>'Raw Data Input'!$AT64</f>
        <v>9.8484999999999996E-10</v>
      </c>
      <c r="AC241" s="528">
        <f>'Raw Data Input'!$AT64</f>
        <v>9.8484999999999996E-10</v>
      </c>
      <c r="AD241" s="528">
        <f>'Raw Data Input'!$AT64</f>
        <v>9.8484999999999996E-10</v>
      </c>
      <c r="AE241" s="528">
        <f>'Raw Data Input'!$AT64</f>
        <v>9.8484999999999996E-10</v>
      </c>
      <c r="AF241" s="528">
        <f>'Raw Data Input'!$AT64</f>
        <v>9.8484999999999996E-10</v>
      </c>
      <c r="AG241" s="528"/>
      <c r="AH241" s="262"/>
      <c r="AI241" s="262"/>
      <c r="AJ241" s="262"/>
      <c r="AK241" s="262"/>
      <c r="AL241" s="262"/>
      <c r="AM241" s="262"/>
      <c r="AN241" s="262"/>
      <c r="AO241" s="262"/>
      <c r="AP241" s="262"/>
      <c r="AQ241" s="262"/>
      <c r="AR241" s="262"/>
      <c r="AS241" s="262"/>
      <c r="AT241" s="262"/>
      <c r="AU241" s="262"/>
      <c r="AV241" s="262"/>
      <c r="AW241" s="262"/>
      <c r="AX241" s="262"/>
      <c r="AY241" s="262"/>
      <c r="AZ241" s="262"/>
      <c r="BA241" s="262"/>
      <c r="BB241" s="262"/>
      <c r="BC241" s="262"/>
      <c r="BD241" s="262"/>
      <c r="BE241" s="262"/>
      <c r="BF241" s="262"/>
      <c r="BG241" s="262"/>
      <c r="BH241" s="262"/>
      <c r="BI241" s="262"/>
      <c r="BJ241" s="262"/>
      <c r="BK241" s="262"/>
      <c r="BL241" s="262"/>
      <c r="BM241" s="262"/>
      <c r="BN241" s="262"/>
      <c r="BO241" s="262"/>
      <c r="BP241" s="262"/>
      <c r="BQ241" s="262"/>
      <c r="BR241" s="262"/>
      <c r="BS241" s="262"/>
      <c r="BT241" s="262"/>
      <c r="BU241" s="262"/>
      <c r="BV241" s="262"/>
      <c r="BW241" s="262"/>
      <c r="BX241" s="262"/>
      <c r="BY241" s="262"/>
      <c r="BZ241" s="262"/>
      <c r="CA241" s="262"/>
      <c r="CB241" s="262"/>
      <c r="CC241" s="262"/>
      <c r="CD241" s="262"/>
      <c r="CE241" s="262"/>
      <c r="CF241" s="262"/>
      <c r="CG241" s="262"/>
      <c r="CH241" s="262"/>
      <c r="CI241" s="262"/>
      <c r="CJ241" s="262"/>
      <c r="CK241" s="262"/>
      <c r="CL241" s="262"/>
      <c r="CM241" s="262"/>
      <c r="CN241" s="262"/>
      <c r="CO241" s="262"/>
      <c r="CP241" s="262"/>
      <c r="CQ241" s="262"/>
      <c r="CR241" s="262"/>
      <c r="CS241" s="262"/>
    </row>
    <row r="242" spans="1:97" ht="18" x14ac:dyDescent="0.2">
      <c r="A242" s="49" t="s">
        <v>138</v>
      </c>
      <c r="B242" s="64"/>
      <c r="C242" s="528">
        <f>'Raw Data Input'!$AT65</f>
        <v>1.5512499999999999E-10</v>
      </c>
      <c r="D242" s="528">
        <f>'Raw Data Input'!$AT65</f>
        <v>1.5512499999999999E-10</v>
      </c>
      <c r="E242" s="528">
        <f>'Raw Data Input'!$AT65</f>
        <v>1.5512499999999999E-10</v>
      </c>
      <c r="F242" s="528">
        <f>'Raw Data Input'!$AT65</f>
        <v>1.5512499999999999E-10</v>
      </c>
      <c r="G242" s="528">
        <f>'Raw Data Input'!$AT65</f>
        <v>1.5512499999999999E-10</v>
      </c>
      <c r="H242" s="528">
        <f>'Raw Data Input'!$AT65</f>
        <v>1.5512499999999999E-10</v>
      </c>
      <c r="I242" s="528">
        <f>'Raw Data Input'!$AT65</f>
        <v>1.5512499999999999E-10</v>
      </c>
      <c r="J242" s="528">
        <f>'Raw Data Input'!$AT65</f>
        <v>1.5512499999999999E-10</v>
      </c>
      <c r="K242" s="528">
        <f>'Raw Data Input'!$AT65</f>
        <v>1.5512499999999999E-10</v>
      </c>
      <c r="L242" s="528">
        <f>'Raw Data Input'!$AT65</f>
        <v>1.5512499999999999E-10</v>
      </c>
      <c r="M242" s="528">
        <f>'Raw Data Input'!$AT65</f>
        <v>1.5512499999999999E-10</v>
      </c>
      <c r="N242" s="528">
        <f>'Raw Data Input'!$AT65</f>
        <v>1.5512499999999999E-10</v>
      </c>
      <c r="O242" s="528">
        <f>'Raw Data Input'!$AT65</f>
        <v>1.5512499999999999E-10</v>
      </c>
      <c r="P242" s="528">
        <f>'Raw Data Input'!$AT65</f>
        <v>1.5512499999999999E-10</v>
      </c>
      <c r="Q242" s="528">
        <f>'Raw Data Input'!$AT65</f>
        <v>1.5512499999999999E-10</v>
      </c>
      <c r="R242" s="528">
        <f>'Raw Data Input'!$AT65</f>
        <v>1.5512499999999999E-10</v>
      </c>
      <c r="S242" s="528">
        <f>'Raw Data Input'!$AT65</f>
        <v>1.5512499999999999E-10</v>
      </c>
      <c r="T242" s="528">
        <f>'Raw Data Input'!$AT65</f>
        <v>1.5512499999999999E-10</v>
      </c>
      <c r="U242" s="528">
        <f>'Raw Data Input'!$AT65</f>
        <v>1.5512499999999999E-10</v>
      </c>
      <c r="V242" s="528">
        <f>'Raw Data Input'!$AT65</f>
        <v>1.5512499999999999E-10</v>
      </c>
      <c r="W242" s="528">
        <f>'Raw Data Input'!$AT65</f>
        <v>1.5512499999999999E-10</v>
      </c>
      <c r="X242" s="528">
        <f>'Raw Data Input'!$AT65</f>
        <v>1.5512499999999999E-10</v>
      </c>
      <c r="Y242" s="528">
        <f>'Raw Data Input'!$AT65</f>
        <v>1.5512499999999999E-10</v>
      </c>
      <c r="Z242" s="528">
        <f>'Raw Data Input'!$AT65</f>
        <v>1.5512499999999999E-10</v>
      </c>
      <c r="AA242" s="528">
        <f>'Raw Data Input'!$AT65</f>
        <v>1.5512499999999999E-10</v>
      </c>
      <c r="AB242" s="528">
        <f>'Raw Data Input'!$AT65</f>
        <v>1.5512499999999999E-10</v>
      </c>
      <c r="AC242" s="528">
        <f>'Raw Data Input'!$AT65</f>
        <v>1.5512499999999999E-10</v>
      </c>
      <c r="AD242" s="528">
        <f>'Raw Data Input'!$AT65</f>
        <v>1.5512499999999999E-10</v>
      </c>
      <c r="AE242" s="528">
        <f>'Raw Data Input'!$AT65</f>
        <v>1.5512499999999999E-10</v>
      </c>
      <c r="AF242" s="528">
        <f>'Raw Data Input'!$AT65</f>
        <v>1.5512499999999999E-10</v>
      </c>
      <c r="AG242" s="528"/>
      <c r="AH242" s="262"/>
      <c r="AI242" s="262"/>
      <c r="AJ242" s="262"/>
      <c r="AK242" s="262"/>
      <c r="AL242" s="262"/>
      <c r="AM242" s="262"/>
      <c r="AN242" s="262"/>
      <c r="AO242" s="262"/>
      <c r="AP242" s="262"/>
      <c r="AQ242" s="262"/>
      <c r="AR242" s="262"/>
      <c r="AS242" s="262"/>
      <c r="AT242" s="262"/>
      <c r="AU242" s="262"/>
      <c r="AV242" s="262"/>
      <c r="AW242" s="262"/>
      <c r="AX242" s="262"/>
      <c r="AY242" s="262"/>
      <c r="AZ242" s="262"/>
      <c r="BA242" s="262"/>
      <c r="BB242" s="262"/>
      <c r="BC242" s="262"/>
      <c r="BD242" s="262"/>
      <c r="BE242" s="262"/>
      <c r="BF242" s="262"/>
      <c r="BG242" s="262"/>
      <c r="BH242" s="262"/>
      <c r="BI242" s="262"/>
      <c r="BJ242" s="262"/>
      <c r="BK242" s="262"/>
      <c r="BL242" s="262"/>
      <c r="BM242" s="262"/>
      <c r="BN242" s="262"/>
      <c r="BO242" s="262"/>
      <c r="BP242" s="262"/>
      <c r="BQ242" s="262"/>
      <c r="BR242" s="262"/>
      <c r="BS242" s="262"/>
      <c r="BT242" s="262"/>
      <c r="BU242" s="262"/>
      <c r="BV242" s="262"/>
      <c r="BW242" s="262"/>
      <c r="BX242" s="262"/>
      <c r="BY242" s="262"/>
      <c r="BZ242" s="262"/>
      <c r="CA242" s="262"/>
      <c r="CB242" s="262"/>
      <c r="CC242" s="262"/>
      <c r="CD242" s="262"/>
      <c r="CE242" s="262"/>
      <c r="CF242" s="262"/>
      <c r="CG242" s="262"/>
      <c r="CH242" s="262"/>
      <c r="CI242" s="262"/>
      <c r="CJ242" s="262"/>
      <c r="CK242" s="262"/>
      <c r="CL242" s="262"/>
      <c r="CM242" s="262"/>
      <c r="CN242" s="262"/>
      <c r="CO242" s="262"/>
      <c r="CP242" s="262"/>
      <c r="CQ242" s="262"/>
      <c r="CR242" s="262"/>
      <c r="CS242" s="262"/>
    </row>
    <row r="243" spans="1:97" ht="18" x14ac:dyDescent="0.2">
      <c r="A243" s="49" t="s">
        <v>310</v>
      </c>
      <c r="B243" s="64"/>
      <c r="C243" s="528">
        <f>'Raw Data Input'!$AT66</f>
        <v>4.9475200000000001E-11</v>
      </c>
      <c r="D243" s="528">
        <f>'Raw Data Input'!$AT66</f>
        <v>4.9475200000000001E-11</v>
      </c>
      <c r="E243" s="528">
        <f>'Raw Data Input'!$AT66</f>
        <v>4.9475200000000001E-11</v>
      </c>
      <c r="F243" s="528">
        <f>'Raw Data Input'!$AT66</f>
        <v>4.9475200000000001E-11</v>
      </c>
      <c r="G243" s="528">
        <f>'Raw Data Input'!$AT66</f>
        <v>4.9475200000000001E-11</v>
      </c>
      <c r="H243" s="528">
        <f>'Raw Data Input'!$AT66</f>
        <v>4.9475200000000001E-11</v>
      </c>
      <c r="I243" s="528">
        <f>'Raw Data Input'!$AT66</f>
        <v>4.9475200000000001E-11</v>
      </c>
      <c r="J243" s="528">
        <f>'Raw Data Input'!$AT66</f>
        <v>4.9475200000000001E-11</v>
      </c>
      <c r="K243" s="528">
        <f>'Raw Data Input'!$AT66</f>
        <v>4.9475200000000001E-11</v>
      </c>
      <c r="L243" s="528">
        <f>'Raw Data Input'!$AT66</f>
        <v>4.9475200000000001E-11</v>
      </c>
      <c r="M243" s="528">
        <f>'Raw Data Input'!$AT66</f>
        <v>4.9475200000000001E-11</v>
      </c>
      <c r="N243" s="528">
        <f>'Raw Data Input'!$AT66</f>
        <v>4.9475200000000001E-11</v>
      </c>
      <c r="O243" s="528">
        <f>'Raw Data Input'!$AT66</f>
        <v>4.9475200000000001E-11</v>
      </c>
      <c r="P243" s="528">
        <f>'Raw Data Input'!$AT66</f>
        <v>4.9475200000000001E-11</v>
      </c>
      <c r="Q243" s="528">
        <f>'Raw Data Input'!$AT66</f>
        <v>4.9475200000000001E-11</v>
      </c>
      <c r="R243" s="528">
        <f>'Raw Data Input'!$AT66</f>
        <v>4.9475200000000001E-11</v>
      </c>
      <c r="S243" s="528">
        <f>'Raw Data Input'!$AT66</f>
        <v>4.9475200000000001E-11</v>
      </c>
      <c r="T243" s="528">
        <f>'Raw Data Input'!$AT66</f>
        <v>4.9475200000000001E-11</v>
      </c>
      <c r="U243" s="528">
        <f>'Raw Data Input'!$AT66</f>
        <v>4.9475200000000001E-11</v>
      </c>
      <c r="V243" s="528">
        <f>'Raw Data Input'!$AT66</f>
        <v>4.9475200000000001E-11</v>
      </c>
      <c r="W243" s="528">
        <f>'Raw Data Input'!$AT66</f>
        <v>4.9475200000000001E-11</v>
      </c>
      <c r="X243" s="528">
        <f>'Raw Data Input'!$AT66</f>
        <v>4.9475200000000001E-11</v>
      </c>
      <c r="Y243" s="528">
        <f>'Raw Data Input'!$AT66</f>
        <v>4.9475200000000001E-11</v>
      </c>
      <c r="Z243" s="528">
        <f>'Raw Data Input'!$AT66</f>
        <v>4.9475200000000001E-11</v>
      </c>
      <c r="AA243" s="528">
        <f>'Raw Data Input'!$AT66</f>
        <v>4.9475200000000001E-11</v>
      </c>
      <c r="AB243" s="528">
        <f>'Raw Data Input'!$AT66</f>
        <v>4.9475200000000001E-11</v>
      </c>
      <c r="AC243" s="528">
        <f>'Raw Data Input'!$AT66</f>
        <v>4.9475200000000001E-11</v>
      </c>
      <c r="AD243" s="528">
        <f>'Raw Data Input'!$AT66</f>
        <v>4.9475200000000001E-11</v>
      </c>
      <c r="AE243" s="528">
        <f>'Raw Data Input'!$AT66</f>
        <v>4.9475200000000001E-11</v>
      </c>
      <c r="AF243" s="528">
        <f>'Raw Data Input'!$AT66</f>
        <v>4.9475200000000001E-11</v>
      </c>
      <c r="AG243" s="528"/>
      <c r="AH243" s="262"/>
      <c r="AI243" s="262"/>
      <c r="AJ243" s="262"/>
      <c r="AK243" s="262"/>
      <c r="AL243" s="262"/>
      <c r="AM243" s="262"/>
      <c r="AN243" s="262"/>
      <c r="AO243" s="262"/>
      <c r="AP243" s="262"/>
      <c r="AQ243" s="262"/>
      <c r="AR243" s="262"/>
      <c r="AS243" s="262"/>
      <c r="AT243" s="262"/>
      <c r="AU243" s="262"/>
      <c r="AV243" s="262"/>
      <c r="AW243" s="262"/>
      <c r="AX243" s="262"/>
      <c r="AY243" s="262"/>
      <c r="AZ243" s="262"/>
      <c r="BA243" s="262"/>
      <c r="BB243" s="262"/>
      <c r="BC243" s="262"/>
      <c r="BD243" s="262"/>
      <c r="BE243" s="262"/>
      <c r="BF243" s="262"/>
      <c r="BG243" s="262"/>
      <c r="BH243" s="262"/>
      <c r="BI243" s="262"/>
      <c r="BJ243" s="262"/>
      <c r="BK243" s="262"/>
      <c r="BL243" s="262"/>
      <c r="BM243" s="262"/>
      <c r="BN243" s="262"/>
      <c r="BO243" s="262"/>
      <c r="BP243" s="262"/>
      <c r="BQ243" s="262"/>
      <c r="BR243" s="262"/>
      <c r="BS243" s="262"/>
      <c r="BT243" s="262"/>
      <c r="BU243" s="262"/>
      <c r="BV243" s="262"/>
      <c r="BW243" s="262"/>
      <c r="BX243" s="262"/>
      <c r="BY243" s="262"/>
      <c r="BZ243" s="262"/>
      <c r="CA243" s="262"/>
      <c r="CB243" s="262"/>
      <c r="CC243" s="262"/>
      <c r="CD243" s="262"/>
      <c r="CE243" s="262"/>
      <c r="CF243" s="262"/>
      <c r="CG243" s="262"/>
      <c r="CH243" s="262"/>
      <c r="CI243" s="262"/>
      <c r="CJ243" s="262"/>
      <c r="CK243" s="262"/>
      <c r="CL243" s="262"/>
      <c r="CM243" s="262"/>
      <c r="CN243" s="262"/>
      <c r="CO243" s="262"/>
      <c r="CP243" s="262"/>
      <c r="CQ243" s="262"/>
      <c r="CR243" s="262"/>
      <c r="CS243" s="262"/>
    </row>
    <row r="244" spans="1:97" ht="18" x14ac:dyDescent="0.2">
      <c r="A244" s="49" t="s">
        <v>286</v>
      </c>
      <c r="B244" s="64"/>
      <c r="C244" s="528">
        <f>'Raw Data Input'!$AT67</f>
        <v>9.1949999999999992E-6</v>
      </c>
      <c r="D244" s="528">
        <f>'Raw Data Input'!$AT67</f>
        <v>9.1949999999999992E-6</v>
      </c>
      <c r="E244" s="528">
        <f>'Raw Data Input'!$AT67</f>
        <v>9.1949999999999992E-6</v>
      </c>
      <c r="F244" s="528">
        <f>'Raw Data Input'!$AT67</f>
        <v>9.1949999999999992E-6</v>
      </c>
      <c r="G244" s="528">
        <f>'Raw Data Input'!$AT67</f>
        <v>9.1949999999999992E-6</v>
      </c>
      <c r="H244" s="528">
        <f>'Raw Data Input'!$AT67</f>
        <v>9.1949999999999992E-6</v>
      </c>
      <c r="I244" s="528">
        <f>'Raw Data Input'!$AT67</f>
        <v>9.1949999999999992E-6</v>
      </c>
      <c r="J244" s="528">
        <f>'Raw Data Input'!$AT67</f>
        <v>9.1949999999999992E-6</v>
      </c>
      <c r="K244" s="528">
        <f>'Raw Data Input'!$AT67</f>
        <v>9.1949999999999992E-6</v>
      </c>
      <c r="L244" s="528">
        <f>'Raw Data Input'!$AT67</f>
        <v>9.1949999999999992E-6</v>
      </c>
      <c r="M244" s="528">
        <f>'Raw Data Input'!$AT67</f>
        <v>9.1949999999999992E-6</v>
      </c>
      <c r="N244" s="528">
        <f>'Raw Data Input'!$AT67</f>
        <v>9.1949999999999992E-6</v>
      </c>
      <c r="O244" s="528">
        <f>'Raw Data Input'!$AT67</f>
        <v>9.1949999999999992E-6</v>
      </c>
      <c r="P244" s="528">
        <f>'Raw Data Input'!$AT67</f>
        <v>9.1949999999999992E-6</v>
      </c>
      <c r="Q244" s="528">
        <f>'Raw Data Input'!$AT67</f>
        <v>9.1949999999999992E-6</v>
      </c>
      <c r="R244" s="528">
        <f>'Raw Data Input'!$AT67</f>
        <v>9.1949999999999992E-6</v>
      </c>
      <c r="S244" s="528">
        <f>'Raw Data Input'!$AT67</f>
        <v>9.1949999999999992E-6</v>
      </c>
      <c r="T244" s="528">
        <f>'Raw Data Input'!$AT67</f>
        <v>9.1949999999999992E-6</v>
      </c>
      <c r="U244" s="528">
        <f>'Raw Data Input'!$AT67</f>
        <v>9.1949999999999992E-6</v>
      </c>
      <c r="V244" s="528">
        <f>'Raw Data Input'!$AT67</f>
        <v>9.1949999999999992E-6</v>
      </c>
      <c r="W244" s="528">
        <f>'Raw Data Input'!$AT67</f>
        <v>9.1949999999999992E-6</v>
      </c>
      <c r="X244" s="528">
        <f>'Raw Data Input'!$AT67</f>
        <v>9.1949999999999992E-6</v>
      </c>
      <c r="Y244" s="528">
        <f>'Raw Data Input'!$AT67</f>
        <v>9.1949999999999992E-6</v>
      </c>
      <c r="Z244" s="528">
        <f>'Raw Data Input'!$AT67</f>
        <v>9.1949999999999992E-6</v>
      </c>
      <c r="AA244" s="528">
        <f>'Raw Data Input'!$AT67</f>
        <v>9.1949999999999992E-6</v>
      </c>
      <c r="AB244" s="528">
        <f>'Raw Data Input'!$AT67</f>
        <v>9.1949999999999992E-6</v>
      </c>
      <c r="AC244" s="528">
        <f>'Raw Data Input'!$AT67</f>
        <v>9.1949999999999992E-6</v>
      </c>
      <c r="AD244" s="528">
        <f>'Raw Data Input'!$AT67</f>
        <v>9.1949999999999992E-6</v>
      </c>
      <c r="AE244" s="528">
        <f>'Raw Data Input'!$AT67</f>
        <v>9.1949999999999992E-6</v>
      </c>
      <c r="AF244" s="528">
        <f>'Raw Data Input'!$AT67</f>
        <v>9.1949999999999992E-6</v>
      </c>
      <c r="AG244" s="528"/>
      <c r="AH244" s="262"/>
      <c r="AI244" s="262"/>
      <c r="AJ244" s="262"/>
      <c r="AK244" s="262"/>
      <c r="AL244" s="262"/>
      <c r="AM244" s="262"/>
      <c r="AN244" s="262"/>
      <c r="AO244" s="262"/>
      <c r="AP244" s="262"/>
      <c r="AQ244" s="262"/>
      <c r="AR244" s="262"/>
      <c r="AS244" s="262"/>
      <c r="AT244" s="262"/>
      <c r="AU244" s="262"/>
      <c r="AV244" s="262"/>
      <c r="AW244" s="262"/>
      <c r="AX244" s="262"/>
      <c r="AY244" s="262"/>
      <c r="AZ244" s="262"/>
      <c r="BA244" s="262"/>
      <c r="BB244" s="262"/>
      <c r="BC244" s="262"/>
      <c r="BD244" s="262"/>
      <c r="BE244" s="262"/>
      <c r="BF244" s="262"/>
      <c r="BG244" s="262"/>
      <c r="BH244" s="262"/>
      <c r="BI244" s="262"/>
      <c r="BJ244" s="262"/>
      <c r="BK244" s="262"/>
      <c r="BL244" s="262"/>
      <c r="BM244" s="262"/>
      <c r="BN244" s="262"/>
      <c r="BO244" s="262"/>
      <c r="BP244" s="262"/>
      <c r="BQ244" s="262"/>
      <c r="BR244" s="262"/>
      <c r="BS244" s="262"/>
      <c r="BT244" s="262"/>
      <c r="BU244" s="262"/>
      <c r="BV244" s="262"/>
      <c r="BW244" s="262"/>
      <c r="BX244" s="262"/>
      <c r="BY244" s="262"/>
      <c r="BZ244" s="262"/>
      <c r="CA244" s="262"/>
      <c r="CB244" s="262"/>
      <c r="CC244" s="262"/>
      <c r="CD244" s="262"/>
      <c r="CE244" s="262"/>
      <c r="CF244" s="262"/>
      <c r="CG244" s="262"/>
      <c r="CH244" s="262"/>
      <c r="CI244" s="262"/>
      <c r="CJ244" s="262"/>
      <c r="CK244" s="262"/>
      <c r="CL244" s="262"/>
      <c r="CM244" s="262"/>
      <c r="CN244" s="262"/>
      <c r="CO244" s="262"/>
      <c r="CP244" s="262"/>
      <c r="CQ244" s="262"/>
      <c r="CR244" s="262"/>
      <c r="CS244" s="262"/>
    </row>
    <row r="245" spans="1:97" x14ac:dyDescent="0.2">
      <c r="A245" s="198" t="s">
        <v>2</v>
      </c>
      <c r="B245" s="64"/>
      <c r="C245" s="263">
        <f>'Raw Data Input'!$AT68</f>
        <v>137.88</v>
      </c>
      <c r="D245" s="263">
        <f>'Raw Data Input'!$AT68</f>
        <v>137.88</v>
      </c>
      <c r="E245" s="263">
        <f>'Raw Data Input'!$AT68</f>
        <v>137.88</v>
      </c>
      <c r="F245" s="263">
        <f>'Raw Data Input'!$AT68</f>
        <v>137.88</v>
      </c>
      <c r="G245" s="263">
        <f>'Raw Data Input'!$AT68</f>
        <v>137.88</v>
      </c>
      <c r="H245" s="263">
        <f>'Raw Data Input'!$AT68</f>
        <v>137.88</v>
      </c>
      <c r="I245" s="263">
        <f>'Raw Data Input'!$AT68</f>
        <v>137.88</v>
      </c>
      <c r="J245" s="263">
        <f>'Raw Data Input'!$AT68</f>
        <v>137.88</v>
      </c>
      <c r="K245" s="263">
        <f>'Raw Data Input'!$AT68</f>
        <v>137.88</v>
      </c>
      <c r="L245" s="263">
        <f>'Raw Data Input'!$AT68</f>
        <v>137.88</v>
      </c>
      <c r="M245" s="263">
        <f>'Raw Data Input'!$AT68</f>
        <v>137.88</v>
      </c>
      <c r="N245" s="263">
        <f>'Raw Data Input'!$AT68</f>
        <v>137.88</v>
      </c>
      <c r="O245" s="263">
        <f>'Raw Data Input'!$AT68</f>
        <v>137.88</v>
      </c>
      <c r="P245" s="263">
        <f>'Raw Data Input'!$AT68</f>
        <v>137.88</v>
      </c>
      <c r="Q245" s="263">
        <f>'Raw Data Input'!$AT68</f>
        <v>137.88</v>
      </c>
      <c r="R245" s="263">
        <f>'Raw Data Input'!$AT68</f>
        <v>137.88</v>
      </c>
      <c r="S245" s="263">
        <f>'Raw Data Input'!$AT68</f>
        <v>137.88</v>
      </c>
      <c r="T245" s="263">
        <f>'Raw Data Input'!$AT68</f>
        <v>137.88</v>
      </c>
      <c r="U245" s="263">
        <f>'Raw Data Input'!$AT68</f>
        <v>137.88</v>
      </c>
      <c r="V245" s="263">
        <f>'Raw Data Input'!$AT68</f>
        <v>137.88</v>
      </c>
      <c r="W245" s="263">
        <f>'Raw Data Input'!$AT68</f>
        <v>137.88</v>
      </c>
      <c r="X245" s="263">
        <f>'Raw Data Input'!$AT68</f>
        <v>137.88</v>
      </c>
      <c r="Y245" s="263">
        <f>'Raw Data Input'!$AT68</f>
        <v>137.88</v>
      </c>
      <c r="Z245" s="263">
        <f>'Raw Data Input'!$AT68</f>
        <v>137.88</v>
      </c>
      <c r="AA245" s="263">
        <f>'Raw Data Input'!$AT68</f>
        <v>137.88</v>
      </c>
      <c r="AB245" s="263">
        <f>'Raw Data Input'!$AT68</f>
        <v>137.88</v>
      </c>
      <c r="AC245" s="263">
        <f>'Raw Data Input'!$AT68</f>
        <v>137.88</v>
      </c>
      <c r="AD245" s="263">
        <f>'Raw Data Input'!$AT68</f>
        <v>137.88</v>
      </c>
      <c r="AE245" s="263">
        <f>'Raw Data Input'!$AT68</f>
        <v>137.88</v>
      </c>
      <c r="AF245" s="263">
        <f>'Raw Data Input'!$AT68</f>
        <v>137.88</v>
      </c>
      <c r="AG245" s="528"/>
      <c r="AH245" s="262"/>
      <c r="AI245" s="262"/>
      <c r="AJ245" s="262"/>
      <c r="AK245" s="262"/>
      <c r="AL245" s="262"/>
      <c r="AM245" s="262"/>
      <c r="AN245" s="262"/>
      <c r="AO245" s="262"/>
      <c r="AP245" s="262"/>
      <c r="AQ245" s="262"/>
      <c r="AR245" s="262"/>
      <c r="AS245" s="262"/>
      <c r="AT245" s="262"/>
      <c r="AU245" s="262"/>
      <c r="AV245" s="262"/>
      <c r="AW245" s="262"/>
      <c r="AX245" s="262"/>
      <c r="AY245" s="262"/>
      <c r="AZ245" s="262"/>
      <c r="BA245" s="262"/>
      <c r="BB245" s="262"/>
      <c r="BC245" s="262"/>
      <c r="BD245" s="262"/>
      <c r="BE245" s="262"/>
      <c r="BF245" s="262"/>
      <c r="BG245" s="262"/>
      <c r="BH245" s="262"/>
      <c r="BI245" s="262"/>
      <c r="BJ245" s="262"/>
      <c r="BK245" s="262"/>
      <c r="BL245" s="262"/>
      <c r="BM245" s="262"/>
      <c r="BN245" s="262"/>
      <c r="BO245" s="262"/>
      <c r="BP245" s="262"/>
      <c r="BQ245" s="262"/>
      <c r="BR245" s="262"/>
      <c r="BS245" s="262"/>
      <c r="BT245" s="262"/>
      <c r="BU245" s="262"/>
      <c r="BV245" s="262"/>
      <c r="BW245" s="262"/>
      <c r="BX245" s="262"/>
      <c r="BY245" s="262"/>
      <c r="BZ245" s="262"/>
      <c r="CA245" s="262"/>
      <c r="CB245" s="262"/>
      <c r="CC245" s="262"/>
      <c r="CD245" s="262"/>
      <c r="CE245" s="262"/>
      <c r="CF245" s="262"/>
      <c r="CG245" s="262"/>
      <c r="CH245" s="262"/>
      <c r="CI245" s="262"/>
      <c r="CJ245" s="262"/>
      <c r="CK245" s="262"/>
      <c r="CL245" s="262"/>
      <c r="CM245" s="262"/>
      <c r="CN245" s="262"/>
      <c r="CO245" s="262"/>
      <c r="CP245" s="262"/>
      <c r="CQ245" s="262"/>
      <c r="CR245" s="262"/>
      <c r="CS245" s="262"/>
    </row>
    <row r="246" spans="1:97" x14ac:dyDescent="0.2">
      <c r="A246" s="198"/>
    </row>
    <row r="247" spans="1:97" ht="18" x14ac:dyDescent="0.2">
      <c r="A247" s="1" t="s">
        <v>251</v>
      </c>
    </row>
    <row r="248" spans="1:97" x14ac:dyDescent="0.2">
      <c r="A248" s="38" t="s">
        <v>446</v>
      </c>
      <c r="B248" s="64"/>
      <c r="C248" s="28">
        <f>C13*C12/100</f>
        <v>2.73099538509824E-5</v>
      </c>
      <c r="D248" s="28">
        <f t="shared" ref="D248:AF248" si="120">D13*D12/100</f>
        <v>4.4070383934674698E-5</v>
      </c>
      <c r="E248" s="28">
        <f t="shared" si="120"/>
        <v>3.2451930375114201E-5</v>
      </c>
      <c r="F248" s="28">
        <f t="shared" si="120"/>
        <v>5.6178247934545605E-5</v>
      </c>
      <c r="G248" s="28">
        <f t="shared" si="120"/>
        <v>6.1309077148003296E-5</v>
      </c>
      <c r="H248" s="28">
        <f t="shared" si="120"/>
        <v>3.4764307093194008E-5</v>
      </c>
      <c r="I248" s="28">
        <f t="shared" si="120"/>
        <v>5.3110575708794999E-5</v>
      </c>
      <c r="J248" s="28">
        <f t="shared" si="120"/>
        <v>2.64954441545948E-5</v>
      </c>
      <c r="K248" s="28">
        <f t="shared" si="120"/>
        <v>3.4765360507364761E-5</v>
      </c>
      <c r="L248" s="28">
        <f t="shared" si="120"/>
        <v>4.14339232425258E-5</v>
      </c>
      <c r="M248" s="28">
        <f t="shared" si="120"/>
        <v>8.6401650307156E-5</v>
      </c>
      <c r="N248" s="28">
        <f t="shared" si="120"/>
        <v>5.1069956146421527E-5</v>
      </c>
      <c r="O248" s="28">
        <f t="shared" si="120"/>
        <v>3.3917080466850774E-5</v>
      </c>
      <c r="P248" s="28">
        <f t="shared" si="120"/>
        <v>5.5116130257753597E-5</v>
      </c>
      <c r="Q248" s="28">
        <f t="shared" si="120"/>
        <v>3.1307448492432683E-5</v>
      </c>
      <c r="R248" s="28">
        <f t="shared" si="120"/>
        <v>3.1426795538353103E-5</v>
      </c>
      <c r="S248" s="28">
        <f t="shared" si="120"/>
        <v>4.3542697317629601E-5</v>
      </c>
      <c r="T248" s="28">
        <f t="shared" si="120"/>
        <v>2.2147840204230951E-5</v>
      </c>
      <c r="U248" s="28">
        <f t="shared" si="120"/>
        <v>1.8720030371701953E-5</v>
      </c>
      <c r="V248" s="28">
        <f t="shared" si="120"/>
        <v>1.5011762613364262E-5</v>
      </c>
      <c r="W248" s="28">
        <f t="shared" si="120"/>
        <v>5.8546756451559605E-6</v>
      </c>
      <c r="X248" s="28">
        <f t="shared" si="120"/>
        <v>3.02304546544784E-5</v>
      </c>
      <c r="Y248" s="28">
        <f t="shared" si="120"/>
        <v>4.1409895078655206E-5</v>
      </c>
      <c r="Z248" s="28">
        <f t="shared" si="120"/>
        <v>1.9319228493950082E-5</v>
      </c>
      <c r="AA248" s="28">
        <f t="shared" si="120"/>
        <v>5.9364096813692702E-3</v>
      </c>
      <c r="AB248" s="28">
        <f t="shared" si="120"/>
        <v>1.121536733051238E-2</v>
      </c>
      <c r="AC248" s="28">
        <f t="shared" si="120"/>
        <v>2.0698566986222639E-3</v>
      </c>
      <c r="AD248" s="28">
        <f t="shared" si="120"/>
        <v>6.3317953968526101E-3</v>
      </c>
      <c r="AE248" s="28">
        <f t="shared" si="120"/>
        <v>1.2837755024514541E-2</v>
      </c>
      <c r="AF248" s="28">
        <f t="shared" si="120"/>
        <v>5.3240954381101992E-3</v>
      </c>
      <c r="AG248" s="28"/>
    </row>
    <row r="249" spans="1:97" x14ac:dyDescent="0.2">
      <c r="A249" s="38" t="s">
        <v>447</v>
      </c>
      <c r="B249" s="64"/>
      <c r="C249" s="28">
        <f>C15*C14/100</f>
        <v>1.0645204207131301E-5</v>
      </c>
      <c r="D249" s="28">
        <f t="shared" ref="D249:AF249" si="121">D15*D14/100</f>
        <v>1.015417643910524E-4</v>
      </c>
      <c r="E249" s="28">
        <f t="shared" si="121"/>
        <v>4.3957438449147715E-5</v>
      </c>
      <c r="F249" s="28">
        <f t="shared" si="121"/>
        <v>2.5284038041876107E-5</v>
      </c>
      <c r="G249" s="28">
        <f t="shared" si="121"/>
        <v>4.1981205495350015E-5</v>
      </c>
      <c r="H249" s="28">
        <f t="shared" si="121"/>
        <v>3.9522801069561764E-5</v>
      </c>
      <c r="I249" s="28">
        <f t="shared" si="121"/>
        <v>4.5913785672797789E-5</v>
      </c>
      <c r="J249" s="28">
        <f t="shared" si="121"/>
        <v>2.923449637653561E-5</v>
      </c>
      <c r="K249" s="28">
        <f t="shared" si="121"/>
        <v>1.0037402558189636E-6</v>
      </c>
      <c r="L249" s="28">
        <f t="shared" si="121"/>
        <v>2.0797722900270318E-6</v>
      </c>
      <c r="M249" s="28">
        <f t="shared" si="121"/>
        <v>1.760597583524948E-6</v>
      </c>
      <c r="N249" s="28">
        <f t="shared" si="121"/>
        <v>1.5272657641609264E-6</v>
      </c>
      <c r="O249" s="28">
        <f t="shared" si="121"/>
        <v>2.7686344233526038E-6</v>
      </c>
      <c r="P249" s="28">
        <f t="shared" si="121"/>
        <v>2.0250525105530094E-6</v>
      </c>
      <c r="Q249" s="28">
        <f t="shared" si="121"/>
        <v>1.0841576944559273E-5</v>
      </c>
      <c r="R249" s="28">
        <f t="shared" si="121"/>
        <v>1.6826989279955851E-5</v>
      </c>
      <c r="S249" s="28">
        <f t="shared" si="121"/>
        <v>1.8522693968138993E-5</v>
      </c>
      <c r="T249" s="28">
        <f t="shared" si="121"/>
        <v>2.2664613871192697E-5</v>
      </c>
      <c r="U249" s="28">
        <f t="shared" si="121"/>
        <v>2.6135901035285195E-5</v>
      </c>
      <c r="V249" s="28">
        <f t="shared" si="121"/>
        <v>3.5039285976170459E-5</v>
      </c>
      <c r="W249" s="28">
        <f t="shared" si="121"/>
        <v>3.7610391306547983E-5</v>
      </c>
      <c r="X249" s="28">
        <f t="shared" si="121"/>
        <v>1.0899776245169659E-5</v>
      </c>
      <c r="Y249" s="28">
        <f t="shared" si="121"/>
        <v>2.1421644654021944E-5</v>
      </c>
      <c r="Z249" s="28">
        <f t="shared" si="121"/>
        <v>2.2595807907658907E-5</v>
      </c>
      <c r="AA249" s="28">
        <f t="shared" si="121"/>
        <v>4.6876362123672493E-8</v>
      </c>
      <c r="AB249" s="28">
        <f t="shared" si="121"/>
        <v>5.0252341968581485E-8</v>
      </c>
      <c r="AC249" s="28">
        <f t="shared" si="121"/>
        <v>6.8387736411889621E-8</v>
      </c>
      <c r="AD249" s="28">
        <f t="shared" si="121"/>
        <v>4.847995307720204E-8</v>
      </c>
      <c r="AE249" s="28">
        <f t="shared" si="121"/>
        <v>4.7367663040340367E-8</v>
      </c>
      <c r="AF249" s="28">
        <f t="shared" si="121"/>
        <v>7.1405066929486017E-8</v>
      </c>
      <c r="AG249" s="28"/>
    </row>
    <row r="250" spans="1:97" x14ac:dyDescent="0.2">
      <c r="A250" s="38" t="s">
        <v>448</v>
      </c>
      <c r="B250" s="64"/>
      <c r="C250" s="28">
        <f>C17*C16/100</f>
        <v>6.0048729937158268E-5</v>
      </c>
      <c r="D250" s="28">
        <f t="shared" ref="D250:AF250" si="122">D17*D16/100</f>
        <v>6.804103764256283E-4</v>
      </c>
      <c r="E250" s="28">
        <f t="shared" si="122"/>
        <v>2.6802046816064279E-4</v>
      </c>
      <c r="F250" s="28">
        <f t="shared" si="122"/>
        <v>1.8217166548528815E-4</v>
      </c>
      <c r="G250" s="28">
        <f t="shared" si="122"/>
        <v>2.3185581492704216E-4</v>
      </c>
      <c r="H250" s="28">
        <f t="shared" si="122"/>
        <v>2.7653060334286301E-4</v>
      </c>
      <c r="I250" s="28">
        <f t="shared" si="122"/>
        <v>2.8411663472346547E-4</v>
      </c>
      <c r="J250" s="28">
        <f t="shared" si="122"/>
        <v>1.7715187498246329E-4</v>
      </c>
      <c r="K250" s="28">
        <f t="shared" si="122"/>
        <v>1.5074339262874131E-5</v>
      </c>
      <c r="L250" s="28">
        <f t="shared" si="122"/>
        <v>1.8583496737737255E-5</v>
      </c>
      <c r="M250" s="28">
        <f t="shared" si="122"/>
        <v>1.4474693055922824E-5</v>
      </c>
      <c r="N250" s="28">
        <f t="shared" si="122"/>
        <v>1.777755122091861E-5</v>
      </c>
      <c r="O250" s="28">
        <f t="shared" si="122"/>
        <v>2.9001375902156457E-5</v>
      </c>
      <c r="P250" s="28">
        <f t="shared" si="122"/>
        <v>1.6808802627254169E-5</v>
      </c>
      <c r="Q250" s="28">
        <f t="shared" si="122"/>
        <v>5.9846515318566711E-5</v>
      </c>
      <c r="R250" s="28">
        <f t="shared" si="122"/>
        <v>8.0987735329194848E-5</v>
      </c>
      <c r="S250" s="28">
        <f t="shared" si="122"/>
        <v>1.1667972339604718E-4</v>
      </c>
      <c r="T250" s="28">
        <f t="shared" si="122"/>
        <v>1.1715751106422522E-4</v>
      </c>
      <c r="U250" s="28">
        <f t="shared" si="122"/>
        <v>1.6241176818352059E-4</v>
      </c>
      <c r="V250" s="28">
        <f t="shared" si="122"/>
        <v>1.8068799927294164E-4</v>
      </c>
      <c r="W250" s="28">
        <f t="shared" si="122"/>
        <v>1.7419212111062732E-4</v>
      </c>
      <c r="X250" s="28">
        <f t="shared" si="122"/>
        <v>7.5905459488353683E-5</v>
      </c>
      <c r="Y250" s="28">
        <f t="shared" si="122"/>
        <v>1.1182665460645648E-4</v>
      </c>
      <c r="Z250" s="28">
        <f t="shared" si="122"/>
        <v>1.3364332526475206E-4</v>
      </c>
      <c r="AA250" s="28">
        <f t="shared" si="122"/>
        <v>3.2336618059907379E-6</v>
      </c>
      <c r="AB250" s="28">
        <f t="shared" si="122"/>
        <v>4.9857902536621255E-6</v>
      </c>
      <c r="AC250" s="28">
        <f t="shared" si="122"/>
        <v>3.8617170080309951E-6</v>
      </c>
      <c r="AD250" s="28">
        <f t="shared" si="122"/>
        <v>3.2481574519146804E-6</v>
      </c>
      <c r="AE250" s="28">
        <f t="shared" si="122"/>
        <v>3.7918561877122967E-6</v>
      </c>
      <c r="AF250" s="28">
        <f t="shared" si="122"/>
        <v>2.9549429109015771E-6</v>
      </c>
      <c r="AG250" s="28"/>
    </row>
    <row r="251" spans="1:97" x14ac:dyDescent="0.2">
      <c r="A251" s="38" t="s">
        <v>449</v>
      </c>
      <c r="B251" s="64"/>
      <c r="C251" s="28">
        <f>C19*C18/100</f>
        <v>2.6155081825789259E-6</v>
      </c>
      <c r="D251" s="28">
        <f t="shared" ref="D251:AF251" si="123">D19*D18/100</f>
        <v>7.4806083200752789E-6</v>
      </c>
      <c r="E251" s="28">
        <f t="shared" si="123"/>
        <v>5.5496839604251409E-6</v>
      </c>
      <c r="F251" s="28">
        <f t="shared" si="123"/>
        <v>7.1399497016328986E-6</v>
      </c>
      <c r="G251" s="28">
        <f t="shared" si="123"/>
        <v>8.6077041990428796E-6</v>
      </c>
      <c r="H251" s="28">
        <f t="shared" si="123"/>
        <v>5.0456105476105082E-6</v>
      </c>
      <c r="I251" s="28">
        <f t="shared" si="123"/>
        <v>7.4076849731163203E-6</v>
      </c>
      <c r="J251" s="28">
        <f t="shared" si="123"/>
        <v>3.8065952803680866E-6</v>
      </c>
      <c r="K251" s="28">
        <f t="shared" si="123"/>
        <v>5.6660416545886599E-7</v>
      </c>
      <c r="L251" s="28">
        <f t="shared" si="123"/>
        <v>1.1116891516169E-6</v>
      </c>
      <c r="M251" s="28">
        <f t="shared" si="123"/>
        <v>1.040405284313228E-6</v>
      </c>
      <c r="N251" s="28">
        <f t="shared" si="123"/>
        <v>9.7252882165382605E-7</v>
      </c>
      <c r="O251" s="28">
        <f t="shared" si="123"/>
        <v>1.041375178212931E-6</v>
      </c>
      <c r="P251" s="28">
        <f t="shared" si="123"/>
        <v>1.0249387800881039E-6</v>
      </c>
      <c r="Q251" s="28">
        <f t="shared" si="123"/>
        <v>9.2121223407552006E-7</v>
      </c>
      <c r="R251" s="28">
        <f t="shared" si="123"/>
        <v>2.6202889687163412E-6</v>
      </c>
      <c r="S251" s="28">
        <f t="shared" si="123"/>
        <v>2.6898977210456394E-6</v>
      </c>
      <c r="T251" s="28">
        <f t="shared" si="123"/>
        <v>2.107530839434053E-6</v>
      </c>
      <c r="U251" s="28">
        <f t="shared" si="123"/>
        <v>1.657763913388968E-6</v>
      </c>
      <c r="V251" s="28">
        <f t="shared" si="123"/>
        <v>1.1578228280323198E-6</v>
      </c>
      <c r="W251" s="28">
        <f t="shared" si="123"/>
        <v>7.6303748646886892E-7</v>
      </c>
      <c r="X251" s="28">
        <f t="shared" si="123"/>
        <v>1.590307638394858E-6</v>
      </c>
      <c r="Y251" s="28">
        <f t="shared" si="123"/>
        <v>2.7856159010134005E-6</v>
      </c>
      <c r="Z251" s="28">
        <f t="shared" si="123"/>
        <v>1.2671385370308841E-6</v>
      </c>
      <c r="AA251" s="28">
        <f t="shared" si="123"/>
        <v>1.9597762519046399E-6</v>
      </c>
      <c r="AB251" s="28">
        <f t="shared" si="123"/>
        <v>2.4411513215912281E-6</v>
      </c>
      <c r="AC251" s="28">
        <f t="shared" si="123"/>
        <v>1.5443363917654499E-6</v>
      </c>
      <c r="AD251" s="28">
        <f t="shared" si="123"/>
        <v>2.7670300905597906E-6</v>
      </c>
      <c r="AE251" s="28">
        <f t="shared" si="123"/>
        <v>3.83893359463476E-6</v>
      </c>
      <c r="AF251" s="28">
        <f t="shared" si="123"/>
        <v>3.5824653681774603E-6</v>
      </c>
      <c r="AG251" s="28"/>
    </row>
    <row r="252" spans="1:97" x14ac:dyDescent="0.2">
      <c r="A252" s="38" t="s">
        <v>450</v>
      </c>
      <c r="B252" s="64"/>
      <c r="C252" s="28">
        <f>C21*C20/100</f>
        <v>1.4103674543447998E-5</v>
      </c>
      <c r="D252" s="28">
        <f t="shared" ref="D252:AF252" si="124">D21*D20/100</f>
        <v>3.2211331652268996E-5</v>
      </c>
      <c r="E252" s="28">
        <f t="shared" si="124"/>
        <v>2.9361140020310798E-5</v>
      </c>
      <c r="F252" s="28">
        <f t="shared" si="124"/>
        <v>5.5689552901455002E-5</v>
      </c>
      <c r="G252" s="28">
        <f t="shared" si="124"/>
        <v>4.05444140406668E-5</v>
      </c>
      <c r="H252" s="28">
        <f t="shared" si="124"/>
        <v>3.1745559325552781E-5</v>
      </c>
      <c r="I252" s="28">
        <f t="shared" si="124"/>
        <v>3.5449841907815401E-5</v>
      </c>
      <c r="J252" s="28">
        <f t="shared" si="124"/>
        <v>1.6872914981442521E-5</v>
      </c>
      <c r="K252" s="28">
        <f t="shared" si="124"/>
        <v>8.2336693446975208E-6</v>
      </c>
      <c r="L252" s="28">
        <f t="shared" si="124"/>
        <v>1.01598030143554E-5</v>
      </c>
      <c r="M252" s="28">
        <f t="shared" si="124"/>
        <v>9.232853316259501E-6</v>
      </c>
      <c r="N252" s="28">
        <f t="shared" si="124"/>
        <v>1.2273998015457002E-5</v>
      </c>
      <c r="O252" s="28">
        <f t="shared" si="124"/>
        <v>1.0170380634133439E-5</v>
      </c>
      <c r="P252" s="28">
        <f t="shared" si="124"/>
        <v>9.1257526786667399E-6</v>
      </c>
      <c r="Q252" s="28">
        <f t="shared" si="124"/>
        <v>4.6716908071149126E-6</v>
      </c>
      <c r="R252" s="28">
        <f t="shared" si="124"/>
        <v>1.2961310081079901E-5</v>
      </c>
      <c r="S252" s="28">
        <f t="shared" si="124"/>
        <v>1.6131180647877982E-5</v>
      </c>
      <c r="T252" s="28">
        <f t="shared" si="124"/>
        <v>9.3849225786519004E-6</v>
      </c>
      <c r="U252" s="28">
        <f t="shared" si="124"/>
        <v>1.0311352629772248E-5</v>
      </c>
      <c r="V252" s="28">
        <f t="shared" si="124"/>
        <v>6.2470871251237359E-6</v>
      </c>
      <c r="W252" s="28">
        <f t="shared" si="124"/>
        <v>4.0740573882126558E-6</v>
      </c>
      <c r="X252" s="28">
        <f t="shared" si="124"/>
        <v>9.8999223601634609E-6</v>
      </c>
      <c r="Y252" s="28">
        <f t="shared" si="124"/>
        <v>1.4618212885846702E-5</v>
      </c>
      <c r="Z252" s="28">
        <f t="shared" si="124"/>
        <v>7.8001000308345659E-6</v>
      </c>
      <c r="AA252" s="28">
        <f t="shared" si="124"/>
        <v>1.1289542643073891E-3</v>
      </c>
      <c r="AB252" s="28">
        <f t="shared" si="124"/>
        <v>2.054338148416796E-3</v>
      </c>
      <c r="AC252" s="28">
        <f t="shared" si="124"/>
        <v>3.6856073703934544E-4</v>
      </c>
      <c r="AD252" s="28">
        <f t="shared" si="124"/>
        <v>1.091561503842376E-3</v>
      </c>
      <c r="AE252" s="28">
        <f t="shared" si="124"/>
        <v>2.4875490339945601E-3</v>
      </c>
      <c r="AF252" s="28">
        <f t="shared" si="124"/>
        <v>9.1902954849689409E-4</v>
      </c>
      <c r="AG252" s="28"/>
    </row>
    <row r="253" spans="1:97" x14ac:dyDescent="0.2">
      <c r="A253" s="38" t="s">
        <v>500</v>
      </c>
      <c r="B253" s="64"/>
      <c r="C253" s="28">
        <f>C23*C22/100</f>
        <v>2.2300724074690898E-5</v>
      </c>
      <c r="D253" s="28">
        <f t="shared" ref="D253:AF253" si="125">D23*D22/100</f>
        <v>3.7317167161784999E-5</v>
      </c>
      <c r="E253" s="28">
        <f t="shared" si="125"/>
        <v>5.3768394563452797E-5</v>
      </c>
      <c r="F253" s="28">
        <f t="shared" si="125"/>
        <v>8.0952100758598208E-5</v>
      </c>
      <c r="G253" s="28">
        <f t="shared" si="125"/>
        <v>6.3569644610508892E-5</v>
      </c>
      <c r="H253" s="28">
        <f t="shared" si="125"/>
        <v>4.9316899386510003E-5</v>
      </c>
      <c r="I253" s="28">
        <f t="shared" si="125"/>
        <v>7.0608999265502401E-5</v>
      </c>
      <c r="J253" s="28">
        <f t="shared" si="125"/>
        <v>3.0771023983230902E-5</v>
      </c>
      <c r="K253" s="28">
        <f t="shared" si="125"/>
        <v>1.62053255647208E-5</v>
      </c>
      <c r="L253" s="28">
        <f t="shared" si="125"/>
        <v>1.9856960752445998E-5</v>
      </c>
      <c r="M253" s="28">
        <f t="shared" si="125"/>
        <v>3.5532369443016996E-5</v>
      </c>
      <c r="N253" s="28">
        <f t="shared" si="125"/>
        <v>1.7239995147520502E-5</v>
      </c>
      <c r="O253" s="28">
        <f t="shared" si="125"/>
        <v>1.705193325534816E-5</v>
      </c>
      <c r="P253" s="28">
        <f t="shared" si="125"/>
        <v>2.0591640886367101E-5</v>
      </c>
      <c r="Q253" s="28">
        <f t="shared" si="125"/>
        <v>1.0819371607500318E-5</v>
      </c>
      <c r="R253" s="28">
        <f t="shared" si="125"/>
        <v>2.7036356057255118E-5</v>
      </c>
      <c r="S253" s="28">
        <f t="shared" si="125"/>
        <v>3.0409727838691951E-5</v>
      </c>
      <c r="T253" s="28">
        <f t="shared" si="125"/>
        <v>2.047879108586064E-5</v>
      </c>
      <c r="U253" s="28">
        <f t="shared" si="125"/>
        <v>1.852769757597138E-5</v>
      </c>
      <c r="V253" s="28">
        <f t="shared" si="125"/>
        <v>1.24482498512307E-5</v>
      </c>
      <c r="W253" s="28">
        <f t="shared" si="125"/>
        <v>7.7168288140860002E-6</v>
      </c>
      <c r="X253" s="28">
        <f t="shared" si="125"/>
        <v>2.1425785609754119E-5</v>
      </c>
      <c r="Y253" s="28">
        <f t="shared" si="125"/>
        <v>2.7621234209256466E-5</v>
      </c>
      <c r="Z253" s="28">
        <f t="shared" si="125"/>
        <v>2.0340122763991499E-5</v>
      </c>
      <c r="AA253" s="28">
        <f t="shared" si="125"/>
        <v>6.0231351150631803E-4</v>
      </c>
      <c r="AB253" s="28">
        <f t="shared" si="125"/>
        <v>9.1181399564612688E-4</v>
      </c>
      <c r="AC253" s="28">
        <f t="shared" si="125"/>
        <v>2.4242980027634552E-4</v>
      </c>
      <c r="AD253" s="28">
        <f t="shared" si="125"/>
        <v>8.3576677002839797E-4</v>
      </c>
      <c r="AE253" s="28">
        <f t="shared" si="125"/>
        <v>1.6877116999851002E-3</v>
      </c>
      <c r="AF253" s="28">
        <f t="shared" si="125"/>
        <v>6.1116556425458099E-4</v>
      </c>
      <c r="AG253" s="28"/>
    </row>
    <row r="254" spans="1:97" x14ac:dyDescent="0.2">
      <c r="A254" s="38" t="s">
        <v>501</v>
      </c>
      <c r="B254" s="64"/>
      <c r="C254" s="28">
        <f t="shared" ref="C254:AF254" si="126">SQRT((C253/C22)^2+(C251/C18)^2)</f>
        <v>6.478059758652534E-4</v>
      </c>
      <c r="D254" s="28">
        <f t="shared" si="126"/>
        <v>2.2196264575166519E-3</v>
      </c>
      <c r="E254" s="28">
        <f t="shared" si="126"/>
        <v>1.0516228615642025E-3</v>
      </c>
      <c r="F254" s="28">
        <f t="shared" si="126"/>
        <v>5.2072275111655507E-4</v>
      </c>
      <c r="G254" s="28">
        <f t="shared" si="126"/>
        <v>9.0138629469673349E-4</v>
      </c>
      <c r="H254" s="28">
        <f t="shared" si="126"/>
        <v>8.6611640711588527E-4</v>
      </c>
      <c r="I254" s="28">
        <f t="shared" si="126"/>
        <v>1.1880018264079804E-3</v>
      </c>
      <c r="J254" s="28">
        <f t="shared" si="126"/>
        <v>6.7967739036012156E-4</v>
      </c>
      <c r="K254" s="28">
        <f t="shared" si="126"/>
        <v>2.1861526037874252E-3</v>
      </c>
      <c r="L254" s="28">
        <f t="shared" si="126"/>
        <v>2.9790876048830994E-3</v>
      </c>
      <c r="M254" s="28">
        <f t="shared" si="126"/>
        <v>2.4698673326210966E-3</v>
      </c>
      <c r="N254" s="28">
        <f t="shared" si="126"/>
        <v>2.7173913482488573E-3</v>
      </c>
      <c r="O254" s="28">
        <f t="shared" si="126"/>
        <v>2.0022117996633302E-3</v>
      </c>
      <c r="P254" s="28">
        <f t="shared" si="126"/>
        <v>2.827990570409888E-3</v>
      </c>
      <c r="Q254" s="28">
        <f t="shared" si="126"/>
        <v>3.5103717562487897E-3</v>
      </c>
      <c r="R254" s="28">
        <f t="shared" si="126"/>
        <v>3.6269122840119827E-3</v>
      </c>
      <c r="S254" s="28">
        <f t="shared" si="126"/>
        <v>3.6621715538914905E-3</v>
      </c>
      <c r="T254" s="28">
        <f t="shared" si="126"/>
        <v>3.390351399474589E-3</v>
      </c>
      <c r="U254" s="28">
        <f t="shared" si="126"/>
        <v>2.3788210303550507E-3</v>
      </c>
      <c r="V254" s="28">
        <f t="shared" si="126"/>
        <v>2.7135435000405577E-3</v>
      </c>
      <c r="W254" s="28">
        <f t="shared" si="126"/>
        <v>1.9281446467848183E-3</v>
      </c>
      <c r="X254" s="28">
        <f t="shared" si="126"/>
        <v>2.3249521659084475E-3</v>
      </c>
      <c r="Y254" s="28">
        <f t="shared" si="126"/>
        <v>2.7249278273734556E-3</v>
      </c>
      <c r="Z254" s="28">
        <f t="shared" si="126"/>
        <v>2.5498759234632773E-3</v>
      </c>
      <c r="AA254" s="28">
        <f t="shared" si="126"/>
        <v>1.9334783954376032E-3</v>
      </c>
      <c r="AB254" s="28">
        <f t="shared" si="126"/>
        <v>2.7193671019624366E-3</v>
      </c>
      <c r="AC254" s="28">
        <f t="shared" si="126"/>
        <v>2.4137959845935328E-3</v>
      </c>
      <c r="AD254" s="28">
        <f t="shared" si="126"/>
        <v>1.4688383947606578E-3</v>
      </c>
      <c r="AE254" s="28">
        <f t="shared" si="126"/>
        <v>1.5597283765775695E-3</v>
      </c>
      <c r="AF254" s="28">
        <f t="shared" si="126"/>
        <v>1.5762734533603109E-3</v>
      </c>
      <c r="AG254" s="28"/>
    </row>
    <row r="255" spans="1:97" x14ac:dyDescent="0.2">
      <c r="A255" s="38" t="s">
        <v>75</v>
      </c>
      <c r="B255" s="64"/>
      <c r="C255" s="28">
        <f>C25*C24/100</f>
        <v>0</v>
      </c>
      <c r="D255" s="28">
        <f t="shared" ref="D255:AF255" si="127">D25*D24/100</f>
        <v>0</v>
      </c>
      <c r="E255" s="28">
        <f t="shared" si="127"/>
        <v>0</v>
      </c>
      <c r="F255" s="28">
        <f t="shared" si="127"/>
        <v>0</v>
      </c>
      <c r="G255" s="28">
        <f t="shared" si="127"/>
        <v>0</v>
      </c>
      <c r="H255" s="28">
        <f t="shared" si="127"/>
        <v>0</v>
      </c>
      <c r="I255" s="28">
        <f t="shared" si="127"/>
        <v>0</v>
      </c>
      <c r="J255" s="28">
        <f t="shared" si="127"/>
        <v>0</v>
      </c>
      <c r="K255" s="28">
        <f t="shared" si="127"/>
        <v>0</v>
      </c>
      <c r="L255" s="28">
        <f t="shared" si="127"/>
        <v>0</v>
      </c>
      <c r="M255" s="28">
        <f t="shared" si="127"/>
        <v>0</v>
      </c>
      <c r="N255" s="28">
        <f t="shared" si="127"/>
        <v>0</v>
      </c>
      <c r="O255" s="28">
        <f t="shared" si="127"/>
        <v>0</v>
      </c>
      <c r="P255" s="28">
        <f t="shared" si="127"/>
        <v>0</v>
      </c>
      <c r="Q255" s="28">
        <f t="shared" si="127"/>
        <v>0</v>
      </c>
      <c r="R255" s="28">
        <f t="shared" si="127"/>
        <v>1.6235037160282199E-4</v>
      </c>
      <c r="S255" s="28">
        <f t="shared" si="127"/>
        <v>1.3649595461184E-4</v>
      </c>
      <c r="T255" s="28">
        <f t="shared" si="127"/>
        <v>1.1154211840620002E-4</v>
      </c>
      <c r="U255" s="28">
        <f t="shared" si="127"/>
        <v>1.6916210492230797E-4</v>
      </c>
      <c r="V255" s="28">
        <f t="shared" si="127"/>
        <v>2.008E-4</v>
      </c>
      <c r="W255" s="28">
        <f t="shared" si="127"/>
        <v>9.1582441502528701E-5</v>
      </c>
      <c r="X255" s="28">
        <f t="shared" si="127"/>
        <v>1.2601138271854399E-4</v>
      </c>
      <c r="Y255" s="28">
        <f t="shared" si="127"/>
        <v>1.9604299674932002E-4</v>
      </c>
      <c r="Z255" s="28">
        <f t="shared" si="127"/>
        <v>1.4644297806398E-4</v>
      </c>
      <c r="AA255" s="28">
        <f t="shared" si="127"/>
        <v>0</v>
      </c>
      <c r="AB255" s="28">
        <f t="shared" si="127"/>
        <v>0</v>
      </c>
      <c r="AC255" s="28">
        <f t="shared" si="127"/>
        <v>0</v>
      </c>
      <c r="AD255" s="28">
        <f t="shared" si="127"/>
        <v>0</v>
      </c>
      <c r="AE255" s="28">
        <f t="shared" si="127"/>
        <v>0</v>
      </c>
      <c r="AF255" s="28">
        <f t="shared" si="127"/>
        <v>0</v>
      </c>
      <c r="AG255" s="28"/>
    </row>
    <row r="256" spans="1:97" x14ac:dyDescent="0.2">
      <c r="A256" s="38" t="s">
        <v>416</v>
      </c>
      <c r="B256" s="64"/>
      <c r="C256" s="28">
        <f>C27*C26/100</f>
        <v>1.3578427402911021E-5</v>
      </c>
      <c r="D256" s="28">
        <f t="shared" ref="D256:AF256" si="128">D27*D26/100</f>
        <v>1.080375678559905E-5</v>
      </c>
      <c r="E256" s="28">
        <f t="shared" si="128"/>
        <v>1.5051665426852001E-5</v>
      </c>
      <c r="F256" s="28">
        <f t="shared" si="128"/>
        <v>1.282520996651862E-5</v>
      </c>
      <c r="G256" s="28">
        <f t="shared" si="128"/>
        <v>1.6900354385525941E-5</v>
      </c>
      <c r="H256" s="28">
        <f t="shared" si="128"/>
        <v>3.6237591843792696E-5</v>
      </c>
      <c r="I256" s="28">
        <f t="shared" si="128"/>
        <v>1.1550082083929549E-5</v>
      </c>
      <c r="J256" s="28">
        <f t="shared" si="128"/>
        <v>4.5986216529257601E-5</v>
      </c>
      <c r="K256" s="28">
        <f t="shared" si="128"/>
        <v>2.4225124779830158E-5</v>
      </c>
      <c r="L256" s="28">
        <f t="shared" si="128"/>
        <v>1.7234021095025569E-5</v>
      </c>
      <c r="M256" s="28">
        <f t="shared" si="128"/>
        <v>1.2128206359335E-5</v>
      </c>
      <c r="N256" s="28">
        <f t="shared" si="128"/>
        <v>2.1330785832789798E-5</v>
      </c>
      <c r="O256" s="28">
        <f t="shared" si="128"/>
        <v>1.5187450515735124E-5</v>
      </c>
      <c r="P256" s="28">
        <f t="shared" si="128"/>
        <v>9.7013623732832393E-5</v>
      </c>
      <c r="Q256" s="28">
        <f t="shared" si="128"/>
        <v>8.76558626557264E-6</v>
      </c>
      <c r="R256" s="28">
        <f t="shared" si="128"/>
        <v>1.8298999611707939E-5</v>
      </c>
      <c r="S256" s="28">
        <f t="shared" si="128"/>
        <v>1.5237006957453649E-5</v>
      </c>
      <c r="T256" s="28">
        <f t="shared" si="128"/>
        <v>1.019999737759709E-5</v>
      </c>
      <c r="U256" s="28">
        <f t="shared" si="128"/>
        <v>1.5617080367961597E-5</v>
      </c>
      <c r="V256" s="28">
        <f t="shared" si="128"/>
        <v>7.4931063326914999E-6</v>
      </c>
      <c r="W256" s="28">
        <f t="shared" si="128"/>
        <v>4.0997066663824398E-6</v>
      </c>
      <c r="X256" s="28">
        <f t="shared" si="128"/>
        <v>1.177931917712064E-5</v>
      </c>
      <c r="Y256" s="28">
        <f t="shared" si="128"/>
        <v>1.0338062782671333E-5</v>
      </c>
      <c r="Z256" s="28">
        <f t="shared" si="128"/>
        <v>1.1053889731864419E-5</v>
      </c>
      <c r="AA256" s="28">
        <f t="shared" si="128"/>
        <v>1.8803898404598602E-5</v>
      </c>
      <c r="AB256" s="28">
        <f t="shared" si="128"/>
        <v>3.8315366633092004E-5</v>
      </c>
      <c r="AC256" s="28">
        <f t="shared" si="128"/>
        <v>1.8559178266676001E-5</v>
      </c>
      <c r="AD256" s="28">
        <f t="shared" si="128"/>
        <v>2.9745502823365004E-5</v>
      </c>
      <c r="AE256" s="28">
        <f t="shared" si="128"/>
        <v>7.7397693253928308E-5</v>
      </c>
      <c r="AF256" s="28">
        <f t="shared" si="128"/>
        <v>3.0027377872914097E-5</v>
      </c>
      <c r="AG256" s="28"/>
    </row>
    <row r="257" spans="1:33" x14ac:dyDescent="0.2">
      <c r="A257" s="38" t="s">
        <v>417</v>
      </c>
      <c r="B257" s="64"/>
      <c r="C257" s="28">
        <f>C29*C28/100</f>
        <v>2.6487929901705197E-5</v>
      </c>
      <c r="D257" s="28">
        <f t="shared" ref="D257:AF257" si="129">D29*D28/100</f>
        <v>2.6123010903098998E-5</v>
      </c>
      <c r="E257" s="28">
        <f t="shared" si="129"/>
        <v>2.7877670990859101E-5</v>
      </c>
      <c r="F257" s="28">
        <f t="shared" si="129"/>
        <v>2.5297358398702506E-5</v>
      </c>
      <c r="G257" s="28">
        <f t="shared" si="129"/>
        <v>4.0440439999480995E-5</v>
      </c>
      <c r="H257" s="28">
        <f t="shared" si="129"/>
        <v>5.3813685056408703E-5</v>
      </c>
      <c r="I257" s="28">
        <f t="shared" si="129"/>
        <v>2.1781333711137002E-5</v>
      </c>
      <c r="J257" s="28">
        <f t="shared" si="129"/>
        <v>7.5899369540686991E-5</v>
      </c>
      <c r="K257" s="28">
        <f t="shared" si="129"/>
        <v>2.4886861224883077E-5</v>
      </c>
      <c r="L257" s="28">
        <f t="shared" si="129"/>
        <v>1.764017725588629E-5</v>
      </c>
      <c r="M257" s="28">
        <f t="shared" si="129"/>
        <v>1.2862787522857508E-5</v>
      </c>
      <c r="N257" s="28">
        <f t="shared" si="129"/>
        <v>2.112592871389182E-5</v>
      </c>
      <c r="O257" s="28">
        <f t="shared" si="129"/>
        <v>2.3481610890749642E-5</v>
      </c>
      <c r="P257" s="28">
        <f t="shared" si="129"/>
        <v>1.169759705451372E-4</v>
      </c>
      <c r="Q257" s="28">
        <f t="shared" si="129"/>
        <v>1.7355365045068212E-5</v>
      </c>
      <c r="R257" s="28">
        <f t="shared" si="129"/>
        <v>3.1714770560111156E-5</v>
      </c>
      <c r="S257" s="28">
        <f t="shared" si="129"/>
        <v>2.1648020887227423E-5</v>
      </c>
      <c r="T257" s="28">
        <f t="shared" si="129"/>
        <v>2.1837508779270868E-5</v>
      </c>
      <c r="U257" s="28">
        <f t="shared" si="129"/>
        <v>2.9589693055619205E-5</v>
      </c>
      <c r="V257" s="28">
        <f t="shared" si="129"/>
        <v>2.3141268645771154E-5</v>
      </c>
      <c r="W257" s="28">
        <f t="shared" si="129"/>
        <v>1.8043629020549901E-5</v>
      </c>
      <c r="X257" s="28">
        <f t="shared" si="129"/>
        <v>2.2383839521290782E-5</v>
      </c>
      <c r="Y257" s="28">
        <f t="shared" si="129"/>
        <v>1.9714159592910266E-5</v>
      </c>
      <c r="Z257" s="28">
        <f t="shared" si="129"/>
        <v>2.7068042526651958E-5</v>
      </c>
      <c r="AA257" s="28">
        <f t="shared" si="129"/>
        <v>2.1070849916479998E-5</v>
      </c>
      <c r="AB257" s="28">
        <f t="shared" si="129"/>
        <v>2.6471170878520678E-5</v>
      </c>
      <c r="AC257" s="28">
        <f t="shared" si="129"/>
        <v>2.6659133780677796E-5</v>
      </c>
      <c r="AD257" s="28">
        <f t="shared" si="129"/>
        <v>1.6189262906350601E-5</v>
      </c>
      <c r="AE257" s="28">
        <f t="shared" si="129"/>
        <v>4.0048863844695307E-5</v>
      </c>
      <c r="AF257" s="28">
        <f t="shared" si="129"/>
        <v>2.5198738429545001E-5</v>
      </c>
      <c r="AG257" s="28"/>
    </row>
    <row r="258" spans="1:33" x14ac:dyDescent="0.2">
      <c r="A258" s="38" t="s">
        <v>460</v>
      </c>
      <c r="B258" s="64"/>
      <c r="C258" s="28">
        <f>C31*C30/100</f>
        <v>1.3974302065129918E-5</v>
      </c>
      <c r="D258" s="28">
        <f t="shared" ref="D258:AF258" si="130">D31*D30/100</f>
        <v>1.0977734013286589E-5</v>
      </c>
      <c r="E258" s="28">
        <f t="shared" si="130"/>
        <v>1.493908784802864E-5</v>
      </c>
      <c r="F258" s="28">
        <f t="shared" si="130"/>
        <v>1.2896230560184298E-5</v>
      </c>
      <c r="G258" s="28">
        <f t="shared" si="130"/>
        <v>1.6864348421062801E-5</v>
      </c>
      <c r="H258" s="28">
        <f t="shared" si="130"/>
        <v>3.6330712532276799E-5</v>
      </c>
      <c r="I258" s="28">
        <f t="shared" si="130"/>
        <v>1.1248826124560861E-5</v>
      </c>
      <c r="J258" s="28">
        <f t="shared" si="130"/>
        <v>4.5305061020200808E-5</v>
      </c>
      <c r="K258" s="28">
        <f t="shared" si="130"/>
        <v>3.4249424272940101E-5</v>
      </c>
      <c r="L258" s="28">
        <f t="shared" si="130"/>
        <v>1.9308429238421454E-5</v>
      </c>
      <c r="M258" s="28">
        <f t="shared" si="130"/>
        <v>1.5186205117285902E-5</v>
      </c>
      <c r="N258" s="28">
        <f t="shared" si="130"/>
        <v>2.8629495318969678E-5</v>
      </c>
      <c r="O258" s="28">
        <f t="shared" si="130"/>
        <v>1.82444978405679E-5</v>
      </c>
      <c r="P258" s="28">
        <f t="shared" si="130"/>
        <v>1.0041087290492641E-4</v>
      </c>
      <c r="Q258" s="28">
        <f t="shared" si="130"/>
        <v>9.36925692288222E-6</v>
      </c>
      <c r="R258" s="28">
        <f t="shared" si="130"/>
        <v>1.9708630656057702E-5</v>
      </c>
      <c r="S258" s="28">
        <f t="shared" si="130"/>
        <v>1.7027267415060088E-5</v>
      </c>
      <c r="T258" s="28">
        <f t="shared" si="130"/>
        <v>1.0127316549381679E-5</v>
      </c>
      <c r="U258" s="28">
        <f t="shared" si="130"/>
        <v>1.6092659476686799E-5</v>
      </c>
      <c r="V258" s="28">
        <f t="shared" si="130"/>
        <v>8.8675216191504E-6</v>
      </c>
      <c r="W258" s="28">
        <f t="shared" si="130"/>
        <v>4.4950180730976307E-6</v>
      </c>
      <c r="X258" s="28">
        <f t="shared" si="130"/>
        <v>1.2074104567015201E-5</v>
      </c>
      <c r="Y258" s="28">
        <f t="shared" si="130"/>
        <v>9.8458239288025021E-6</v>
      </c>
      <c r="Z258" s="28">
        <f t="shared" si="130"/>
        <v>1.28582987205395E-5</v>
      </c>
      <c r="AA258" s="28">
        <f t="shared" si="130"/>
        <v>3.1634223152294402E-5</v>
      </c>
      <c r="AB258" s="28">
        <f t="shared" si="130"/>
        <v>4.2623203996991E-5</v>
      </c>
      <c r="AC258" s="28">
        <f t="shared" si="130"/>
        <v>2.3927652037000473E-5</v>
      </c>
      <c r="AD258" s="28">
        <f t="shared" si="130"/>
        <v>3.6317376647229998E-5</v>
      </c>
      <c r="AE258" s="28">
        <f t="shared" si="130"/>
        <v>8.8908791302064302E-5</v>
      </c>
      <c r="AF258" s="28">
        <f t="shared" si="130"/>
        <v>3.6640330577475999E-5</v>
      </c>
      <c r="AG258" s="28"/>
    </row>
    <row r="259" spans="1:33" x14ac:dyDescent="0.2">
      <c r="A259" s="38" t="s">
        <v>76</v>
      </c>
      <c r="B259" s="64"/>
      <c r="C259" s="39">
        <f>C152*C153/100</f>
        <v>0</v>
      </c>
      <c r="D259" s="39">
        <f t="shared" ref="D259:AF259" si="131">D152*D153/100</f>
        <v>0</v>
      </c>
      <c r="E259" s="39">
        <f t="shared" si="131"/>
        <v>0</v>
      </c>
      <c r="F259" s="39">
        <f t="shared" si="131"/>
        <v>0</v>
      </c>
      <c r="G259" s="39">
        <f t="shared" si="131"/>
        <v>0</v>
      </c>
      <c r="H259" s="39">
        <f t="shared" si="131"/>
        <v>0</v>
      </c>
      <c r="I259" s="39">
        <f t="shared" si="131"/>
        <v>0</v>
      </c>
      <c r="J259" s="39">
        <f t="shared" si="131"/>
        <v>0</v>
      </c>
      <c r="K259" s="39">
        <f t="shared" si="131"/>
        <v>0</v>
      </c>
      <c r="L259" s="39">
        <f t="shared" si="131"/>
        <v>0</v>
      </c>
      <c r="M259" s="39">
        <f t="shared" si="131"/>
        <v>0</v>
      </c>
      <c r="N259" s="39">
        <f t="shared" si="131"/>
        <v>0</v>
      </c>
      <c r="O259" s="39">
        <f t="shared" si="131"/>
        <v>0</v>
      </c>
      <c r="P259" s="39">
        <f t="shared" si="131"/>
        <v>0</v>
      </c>
      <c r="Q259" s="39">
        <f t="shared" si="131"/>
        <v>0</v>
      </c>
      <c r="R259" s="39">
        <f t="shared" si="131"/>
        <v>2.6549783632450174E-4</v>
      </c>
      <c r="S259" s="39">
        <f t="shared" si="131"/>
        <v>2.6549783632450174E-4</v>
      </c>
      <c r="T259" s="39">
        <f t="shared" si="131"/>
        <v>2.6549783632450174E-4</v>
      </c>
      <c r="U259" s="39">
        <f t="shared" si="131"/>
        <v>2.6549783632450174E-4</v>
      </c>
      <c r="V259" s="39">
        <f t="shared" si="131"/>
        <v>2.6549783632450174E-4</v>
      </c>
      <c r="W259" s="39">
        <f t="shared" si="131"/>
        <v>2.6549783632450174E-4</v>
      </c>
      <c r="X259" s="39">
        <f t="shared" si="131"/>
        <v>2.6549783632450174E-4</v>
      </c>
      <c r="Y259" s="39">
        <f t="shared" si="131"/>
        <v>2.6549783632450174E-4</v>
      </c>
      <c r="Z259" s="39">
        <f t="shared" si="131"/>
        <v>2.6549783632450174E-4</v>
      </c>
      <c r="AA259" s="39">
        <f t="shared" si="131"/>
        <v>0</v>
      </c>
      <c r="AB259" s="39">
        <f t="shared" si="131"/>
        <v>0</v>
      </c>
      <c r="AC259" s="39">
        <f t="shared" si="131"/>
        <v>0</v>
      </c>
      <c r="AD259" s="39">
        <f t="shared" si="131"/>
        <v>0</v>
      </c>
      <c r="AE259" s="39">
        <f t="shared" si="131"/>
        <v>0</v>
      </c>
      <c r="AF259" s="39">
        <f t="shared" si="131"/>
        <v>0</v>
      </c>
      <c r="AG259" s="39"/>
    </row>
    <row r="260" spans="1:33" s="25" customFormat="1" x14ac:dyDescent="0.2">
      <c r="A260" s="38" t="s">
        <v>451</v>
      </c>
      <c r="B260" s="64"/>
      <c r="C260" s="39">
        <f>C154*C155/100</f>
        <v>9.9556471385897722E-7</v>
      </c>
      <c r="D260" s="39">
        <f t="shared" ref="D260:AF260" si="132">D154*D155/100</f>
        <v>9.9556471385897722E-7</v>
      </c>
      <c r="E260" s="39">
        <f t="shared" si="132"/>
        <v>9.9556471385897722E-7</v>
      </c>
      <c r="F260" s="39">
        <f t="shared" si="132"/>
        <v>9.9556471385897722E-7</v>
      </c>
      <c r="G260" s="39">
        <f t="shared" si="132"/>
        <v>9.9556471385897722E-7</v>
      </c>
      <c r="H260" s="39">
        <f t="shared" si="132"/>
        <v>9.9556471385897722E-7</v>
      </c>
      <c r="I260" s="39">
        <f t="shared" si="132"/>
        <v>9.9556471385897722E-7</v>
      </c>
      <c r="J260" s="39">
        <f t="shared" si="132"/>
        <v>9.9556471385897722E-7</v>
      </c>
      <c r="K260" s="39">
        <f t="shared" si="132"/>
        <v>3.1610534944796042E-7</v>
      </c>
      <c r="L260" s="39">
        <f t="shared" si="132"/>
        <v>3.1610534944796042E-7</v>
      </c>
      <c r="M260" s="39">
        <f t="shared" si="132"/>
        <v>3.1610534944796042E-7</v>
      </c>
      <c r="N260" s="39">
        <f t="shared" si="132"/>
        <v>3.1610534944796042E-7</v>
      </c>
      <c r="O260" s="39">
        <f t="shared" si="132"/>
        <v>3.1610534944796042E-7</v>
      </c>
      <c r="P260" s="39">
        <f t="shared" si="132"/>
        <v>3.1610534944796042E-7</v>
      </c>
      <c r="Q260" s="39">
        <f t="shared" si="132"/>
        <v>3.1610534944796042E-7</v>
      </c>
      <c r="R260" s="39">
        <f t="shared" si="132"/>
        <v>0</v>
      </c>
      <c r="S260" s="39">
        <f t="shared" si="132"/>
        <v>0</v>
      </c>
      <c r="T260" s="39">
        <f t="shared" si="132"/>
        <v>0</v>
      </c>
      <c r="U260" s="39">
        <f t="shared" si="132"/>
        <v>0</v>
      </c>
      <c r="V260" s="39">
        <f t="shared" si="132"/>
        <v>0</v>
      </c>
      <c r="W260" s="39">
        <f t="shared" si="132"/>
        <v>0</v>
      </c>
      <c r="X260" s="39">
        <f t="shared" si="132"/>
        <v>0</v>
      </c>
      <c r="Y260" s="39">
        <f t="shared" si="132"/>
        <v>0</v>
      </c>
      <c r="Z260" s="39">
        <f t="shared" si="132"/>
        <v>0</v>
      </c>
      <c r="AA260" s="39">
        <f t="shared" si="132"/>
        <v>9.9556471385897722E-7</v>
      </c>
      <c r="AB260" s="39">
        <f t="shared" si="132"/>
        <v>9.9556471385897722E-7</v>
      </c>
      <c r="AC260" s="39">
        <f t="shared" si="132"/>
        <v>9.9556471385897722E-7</v>
      </c>
      <c r="AD260" s="39">
        <f t="shared" si="132"/>
        <v>9.9556471385897722E-7</v>
      </c>
      <c r="AE260" s="39">
        <f t="shared" si="132"/>
        <v>9.9556471385897722E-7</v>
      </c>
      <c r="AF260" s="39">
        <f t="shared" si="132"/>
        <v>9.9556471385897722E-7</v>
      </c>
      <c r="AG260" s="39"/>
    </row>
    <row r="261" spans="1:33" s="25" customFormat="1" x14ac:dyDescent="0.2">
      <c r="A261" s="38" t="s">
        <v>452</v>
      </c>
      <c r="B261" s="64"/>
      <c r="C261" s="39">
        <f>C156*C157/100</f>
        <v>1.2233939272526808E-6</v>
      </c>
      <c r="D261" s="39">
        <f t="shared" ref="D261:AF261" si="133">D156*D157/100</f>
        <v>1.2233939272526808E-6</v>
      </c>
      <c r="E261" s="39">
        <f t="shared" si="133"/>
        <v>1.2233939272526808E-6</v>
      </c>
      <c r="F261" s="39">
        <f t="shared" si="133"/>
        <v>1.2233939272526808E-6</v>
      </c>
      <c r="G261" s="39">
        <f t="shared" si="133"/>
        <v>1.2233939272526808E-6</v>
      </c>
      <c r="H261" s="39">
        <f t="shared" si="133"/>
        <v>1.2233939272526808E-6</v>
      </c>
      <c r="I261" s="39">
        <f t="shared" si="133"/>
        <v>1.2233939272526808E-6</v>
      </c>
      <c r="J261" s="39">
        <f t="shared" si="133"/>
        <v>1.2233939272526808E-6</v>
      </c>
      <c r="K261" s="39">
        <f t="shared" si="133"/>
        <v>4.1892858163158709E-7</v>
      </c>
      <c r="L261" s="39">
        <f t="shared" si="133"/>
        <v>4.1892858163158709E-7</v>
      </c>
      <c r="M261" s="39">
        <f t="shared" si="133"/>
        <v>4.1892858163158709E-7</v>
      </c>
      <c r="N261" s="39">
        <f t="shared" si="133"/>
        <v>4.1892858163158709E-7</v>
      </c>
      <c r="O261" s="39">
        <f t="shared" si="133"/>
        <v>4.1892858163158709E-7</v>
      </c>
      <c r="P261" s="39">
        <f t="shared" si="133"/>
        <v>4.1892858163158709E-7</v>
      </c>
      <c r="Q261" s="39">
        <f t="shared" si="133"/>
        <v>4.1892858163158709E-7</v>
      </c>
      <c r="R261" s="39">
        <f t="shared" si="133"/>
        <v>7.9785058260961237E-7</v>
      </c>
      <c r="S261" s="39">
        <f t="shared" si="133"/>
        <v>7.9785058260961237E-7</v>
      </c>
      <c r="T261" s="39">
        <f t="shared" si="133"/>
        <v>7.9785058260961237E-7</v>
      </c>
      <c r="U261" s="39">
        <f t="shared" si="133"/>
        <v>7.9785058260961237E-7</v>
      </c>
      <c r="V261" s="39">
        <f t="shared" si="133"/>
        <v>7.9785058260961237E-7</v>
      </c>
      <c r="W261" s="39">
        <f t="shared" si="133"/>
        <v>7.9785058260961237E-7</v>
      </c>
      <c r="X261" s="39">
        <f t="shared" si="133"/>
        <v>7.9785058260961237E-7</v>
      </c>
      <c r="Y261" s="39">
        <f t="shared" si="133"/>
        <v>7.9785058260961237E-7</v>
      </c>
      <c r="Z261" s="39">
        <f t="shared" si="133"/>
        <v>7.9785058260961237E-7</v>
      </c>
      <c r="AA261" s="39">
        <f t="shared" si="133"/>
        <v>1.2233939272526808E-6</v>
      </c>
      <c r="AB261" s="39">
        <f t="shared" si="133"/>
        <v>1.2233939272526808E-6</v>
      </c>
      <c r="AC261" s="39">
        <f t="shared" si="133"/>
        <v>1.2233939272526808E-6</v>
      </c>
      <c r="AD261" s="39">
        <f t="shared" si="133"/>
        <v>1.2233939272526808E-6</v>
      </c>
      <c r="AE261" s="39">
        <f t="shared" si="133"/>
        <v>1.2233939272526808E-6</v>
      </c>
      <c r="AF261" s="39">
        <f t="shared" si="133"/>
        <v>1.2233939272526808E-6</v>
      </c>
      <c r="AG261" s="39"/>
    </row>
    <row r="262" spans="1:33" s="25" customFormat="1" x14ac:dyDescent="0.2">
      <c r="A262" s="38" t="s">
        <v>453</v>
      </c>
      <c r="B262" s="64"/>
      <c r="C262" s="39">
        <f>C158*C159/100</f>
        <v>2.7945324208676522E-7</v>
      </c>
      <c r="D262" s="39">
        <f t="shared" ref="D262:AF262" si="134">D158*D159/100</f>
        <v>2.7945324208676522E-7</v>
      </c>
      <c r="E262" s="39">
        <f t="shared" si="134"/>
        <v>2.7945324208676522E-7</v>
      </c>
      <c r="F262" s="39">
        <f t="shared" si="134"/>
        <v>2.7945324208676522E-7</v>
      </c>
      <c r="G262" s="39">
        <f t="shared" si="134"/>
        <v>2.7945324208676522E-7</v>
      </c>
      <c r="H262" s="39">
        <f t="shared" si="134"/>
        <v>2.7945324208676522E-7</v>
      </c>
      <c r="I262" s="39">
        <f t="shared" si="134"/>
        <v>2.7945324208676522E-7</v>
      </c>
      <c r="J262" s="39">
        <f t="shared" si="134"/>
        <v>2.7945324208676522E-7</v>
      </c>
      <c r="K262" s="39">
        <f t="shared" si="134"/>
        <v>1.2717063927389979E-7</v>
      </c>
      <c r="L262" s="39">
        <f t="shared" si="134"/>
        <v>1.2717063927389979E-7</v>
      </c>
      <c r="M262" s="39">
        <f t="shared" si="134"/>
        <v>1.2717063927389979E-7</v>
      </c>
      <c r="N262" s="39">
        <f t="shared" si="134"/>
        <v>1.2717063927389979E-7</v>
      </c>
      <c r="O262" s="39">
        <f t="shared" si="134"/>
        <v>1.2717063927389979E-7</v>
      </c>
      <c r="P262" s="39">
        <f t="shared" si="134"/>
        <v>1.2717063927389979E-7</v>
      </c>
      <c r="Q262" s="39">
        <f t="shared" si="134"/>
        <v>1.2717063927389979E-7</v>
      </c>
      <c r="R262" s="39">
        <f t="shared" si="134"/>
        <v>1.6801634071970254E-7</v>
      </c>
      <c r="S262" s="39">
        <f t="shared" si="134"/>
        <v>1.6801634071970254E-7</v>
      </c>
      <c r="T262" s="39">
        <f t="shared" si="134"/>
        <v>1.6801634071970254E-7</v>
      </c>
      <c r="U262" s="39">
        <f t="shared" si="134"/>
        <v>1.6801634071970254E-7</v>
      </c>
      <c r="V262" s="39">
        <f t="shared" si="134"/>
        <v>1.6801634071970254E-7</v>
      </c>
      <c r="W262" s="39">
        <f t="shared" si="134"/>
        <v>1.6801634071970254E-7</v>
      </c>
      <c r="X262" s="39">
        <f t="shared" si="134"/>
        <v>1.6801634071970254E-7</v>
      </c>
      <c r="Y262" s="39">
        <f t="shared" si="134"/>
        <v>1.6801634071970254E-7</v>
      </c>
      <c r="Z262" s="39">
        <f t="shared" si="134"/>
        <v>1.6801634071970254E-7</v>
      </c>
      <c r="AA262" s="39">
        <f t="shared" si="134"/>
        <v>2.7945324208676522E-7</v>
      </c>
      <c r="AB262" s="39">
        <f t="shared" si="134"/>
        <v>2.7945324208676522E-7</v>
      </c>
      <c r="AC262" s="39">
        <f t="shared" si="134"/>
        <v>2.7945324208676522E-7</v>
      </c>
      <c r="AD262" s="39">
        <f t="shared" si="134"/>
        <v>2.7945324208676522E-7</v>
      </c>
      <c r="AE262" s="39">
        <f t="shared" si="134"/>
        <v>2.7945324208676522E-7</v>
      </c>
      <c r="AF262" s="39">
        <f t="shared" si="134"/>
        <v>2.7945324208676522E-7</v>
      </c>
      <c r="AG262" s="39"/>
    </row>
    <row r="263" spans="1:33" s="25" customFormat="1" x14ac:dyDescent="0.2">
      <c r="A263" s="38" t="s">
        <v>502</v>
      </c>
      <c r="B263" s="64"/>
      <c r="C263" s="39">
        <f>C161*C160/100</f>
        <v>2.2239354000000001E-6</v>
      </c>
      <c r="D263" s="39">
        <f t="shared" ref="D263:AF263" si="135">D161*D160/100</f>
        <v>2.2239354000000001E-6</v>
      </c>
      <c r="E263" s="39">
        <f t="shared" si="135"/>
        <v>2.2239354000000001E-6</v>
      </c>
      <c r="F263" s="39">
        <f t="shared" si="135"/>
        <v>2.2239354000000001E-6</v>
      </c>
      <c r="G263" s="39">
        <f t="shared" si="135"/>
        <v>2.2239354000000001E-6</v>
      </c>
      <c r="H263" s="39">
        <f t="shared" si="135"/>
        <v>2.2239354000000001E-6</v>
      </c>
      <c r="I263" s="39">
        <f t="shared" si="135"/>
        <v>2.2239354000000001E-6</v>
      </c>
      <c r="J263" s="39">
        <f t="shared" si="135"/>
        <v>2.2239354000000001E-6</v>
      </c>
      <c r="K263" s="39">
        <f t="shared" si="135"/>
        <v>1.417798404926207E-6</v>
      </c>
      <c r="L263" s="39">
        <f t="shared" si="135"/>
        <v>1.417798404926207E-6</v>
      </c>
      <c r="M263" s="39">
        <f t="shared" si="135"/>
        <v>1.417798404926207E-6</v>
      </c>
      <c r="N263" s="39">
        <f t="shared" si="135"/>
        <v>1.417798404926207E-6</v>
      </c>
      <c r="O263" s="39">
        <f t="shared" si="135"/>
        <v>1.417798404926207E-6</v>
      </c>
      <c r="P263" s="39">
        <f t="shared" si="135"/>
        <v>1.417798404926207E-6</v>
      </c>
      <c r="Q263" s="39">
        <f t="shared" si="135"/>
        <v>1.417798404926207E-6</v>
      </c>
      <c r="R263" s="39">
        <f t="shared" si="135"/>
        <v>2.5271748156210034E-6</v>
      </c>
      <c r="S263" s="39">
        <f t="shared" si="135"/>
        <v>2.5271748156210034E-6</v>
      </c>
      <c r="T263" s="39">
        <f t="shared" si="135"/>
        <v>2.5271748156210034E-6</v>
      </c>
      <c r="U263" s="39">
        <f t="shared" si="135"/>
        <v>2.5271748156210034E-6</v>
      </c>
      <c r="V263" s="39">
        <f t="shared" si="135"/>
        <v>2.5271748156210034E-6</v>
      </c>
      <c r="W263" s="39">
        <f t="shared" si="135"/>
        <v>2.5271748156210034E-6</v>
      </c>
      <c r="X263" s="39">
        <f t="shared" si="135"/>
        <v>2.5271748156210034E-6</v>
      </c>
      <c r="Y263" s="39">
        <f t="shared" si="135"/>
        <v>2.5271748156210034E-6</v>
      </c>
      <c r="Z263" s="39">
        <f t="shared" si="135"/>
        <v>2.5271748156210034E-6</v>
      </c>
      <c r="AA263" s="39">
        <f t="shared" si="135"/>
        <v>2.2239354000000001E-6</v>
      </c>
      <c r="AB263" s="39">
        <f t="shared" si="135"/>
        <v>2.2239354000000001E-6</v>
      </c>
      <c r="AC263" s="39">
        <f t="shared" si="135"/>
        <v>2.2239354000000001E-6</v>
      </c>
      <c r="AD263" s="39">
        <f t="shared" si="135"/>
        <v>2.2239354000000001E-6</v>
      </c>
      <c r="AE263" s="39">
        <f t="shared" si="135"/>
        <v>2.2239354000000001E-6</v>
      </c>
      <c r="AF263" s="39">
        <f t="shared" si="135"/>
        <v>2.2239354000000001E-6</v>
      </c>
      <c r="AG263" s="39"/>
    </row>
    <row r="264" spans="1:33" s="25" customFormat="1" x14ac:dyDescent="0.2">
      <c r="A264" s="38" t="s">
        <v>503</v>
      </c>
      <c r="B264" s="64"/>
      <c r="C264" s="39">
        <f t="shared" ref="C264:AF264" si="136">SQRT((C263/C160)^2+(C262/C158)^2)</f>
        <v>1.006014716592158E-3</v>
      </c>
      <c r="D264" s="39">
        <f t="shared" si="136"/>
        <v>1.006014716592158E-3</v>
      </c>
      <c r="E264" s="39">
        <f t="shared" si="136"/>
        <v>1.006014716592158E-3</v>
      </c>
      <c r="F264" s="39">
        <f t="shared" si="136"/>
        <v>1.006014716592158E-3</v>
      </c>
      <c r="G264" s="39">
        <f t="shared" si="136"/>
        <v>1.006014716592158E-3</v>
      </c>
      <c r="H264" s="39">
        <f t="shared" si="136"/>
        <v>1.006014716592158E-3</v>
      </c>
      <c r="I264" s="39">
        <f t="shared" si="136"/>
        <v>1.006014716592158E-3</v>
      </c>
      <c r="J264" s="39">
        <f t="shared" si="136"/>
        <v>1.006014716592158E-3</v>
      </c>
      <c r="K264" s="39">
        <f t="shared" si="136"/>
        <v>2.1500362991492238E-3</v>
      </c>
      <c r="L264" s="39">
        <f t="shared" si="136"/>
        <v>2.1500362991492238E-3</v>
      </c>
      <c r="M264" s="39">
        <f t="shared" si="136"/>
        <v>2.1500362991492238E-3</v>
      </c>
      <c r="N264" s="39">
        <f t="shared" si="136"/>
        <v>2.1500362991492238E-3</v>
      </c>
      <c r="O264" s="39">
        <f t="shared" si="136"/>
        <v>2.1500362991492238E-3</v>
      </c>
      <c r="P264" s="39">
        <f t="shared" si="136"/>
        <v>2.1500362991492238E-3</v>
      </c>
      <c r="Q264" s="39">
        <f t="shared" si="136"/>
        <v>2.1500362991492238E-3</v>
      </c>
      <c r="R264" s="39">
        <f t="shared" si="136"/>
        <v>2.1500362991492242E-3</v>
      </c>
      <c r="S264" s="39">
        <f t="shared" si="136"/>
        <v>2.1500362991492242E-3</v>
      </c>
      <c r="T264" s="39">
        <f t="shared" si="136"/>
        <v>2.1500362991492242E-3</v>
      </c>
      <c r="U264" s="39">
        <f t="shared" si="136"/>
        <v>2.1500362991492242E-3</v>
      </c>
      <c r="V264" s="39">
        <f t="shared" si="136"/>
        <v>2.1500362991492242E-3</v>
      </c>
      <c r="W264" s="39">
        <f t="shared" si="136"/>
        <v>2.1500362991492242E-3</v>
      </c>
      <c r="X264" s="39">
        <f t="shared" si="136"/>
        <v>2.1500362991492242E-3</v>
      </c>
      <c r="Y264" s="39">
        <f t="shared" si="136"/>
        <v>2.1500362991492242E-3</v>
      </c>
      <c r="Z264" s="39">
        <f t="shared" si="136"/>
        <v>2.1500362991492242E-3</v>
      </c>
      <c r="AA264" s="39">
        <f t="shared" si="136"/>
        <v>1.006014716592158E-3</v>
      </c>
      <c r="AB264" s="39">
        <f t="shared" si="136"/>
        <v>1.006014716592158E-3</v>
      </c>
      <c r="AC264" s="39">
        <f t="shared" si="136"/>
        <v>1.006014716592158E-3</v>
      </c>
      <c r="AD264" s="39">
        <f t="shared" si="136"/>
        <v>1.006014716592158E-3</v>
      </c>
      <c r="AE264" s="39">
        <f t="shared" si="136"/>
        <v>1.006014716592158E-3</v>
      </c>
      <c r="AF264" s="39">
        <f t="shared" si="136"/>
        <v>1.006014716592158E-3</v>
      </c>
      <c r="AG264" s="39"/>
    </row>
    <row r="265" spans="1:33" s="25" customFormat="1" x14ac:dyDescent="0.2">
      <c r="A265" s="38" t="s">
        <v>454</v>
      </c>
      <c r="B265" s="64"/>
      <c r="C265" s="39">
        <f>C162*C163/100</f>
        <v>2.1809186999949013E-4</v>
      </c>
      <c r="D265" s="39">
        <f t="shared" ref="D265:AF265" si="137">D162*D163/100</f>
        <v>2.1809186999949013E-4</v>
      </c>
      <c r="E265" s="39">
        <f t="shared" si="137"/>
        <v>2.1809186999949013E-4</v>
      </c>
      <c r="F265" s="39">
        <f t="shared" si="137"/>
        <v>2.1809186999949013E-4</v>
      </c>
      <c r="G265" s="39">
        <f t="shared" si="137"/>
        <v>2.1809186999949013E-4</v>
      </c>
      <c r="H265" s="39">
        <f t="shared" si="137"/>
        <v>2.1809186999949013E-4</v>
      </c>
      <c r="I265" s="39">
        <f t="shared" si="137"/>
        <v>2.1809186999949013E-4</v>
      </c>
      <c r="J265" s="39">
        <f t="shared" si="137"/>
        <v>2.1809186999949013E-4</v>
      </c>
      <c r="K265" s="39">
        <f t="shared" si="137"/>
        <v>7.37429435481938E-4</v>
      </c>
      <c r="L265" s="39">
        <f t="shared" si="137"/>
        <v>7.37429435481938E-4</v>
      </c>
      <c r="M265" s="39">
        <f t="shared" si="137"/>
        <v>7.37429435481938E-4</v>
      </c>
      <c r="N265" s="39">
        <f t="shared" si="137"/>
        <v>7.37429435481938E-4</v>
      </c>
      <c r="O265" s="39">
        <f t="shared" si="137"/>
        <v>7.37429435481938E-4</v>
      </c>
      <c r="P265" s="39">
        <f t="shared" si="137"/>
        <v>7.37429435481938E-4</v>
      </c>
      <c r="Q265" s="39">
        <f t="shared" si="137"/>
        <v>7.37429435481938E-4</v>
      </c>
      <c r="R265" s="39">
        <f t="shared" si="137"/>
        <v>8.9871204612981088E-4</v>
      </c>
      <c r="S265" s="39">
        <f t="shared" si="137"/>
        <v>8.9871204612981088E-4</v>
      </c>
      <c r="T265" s="39">
        <f t="shared" si="137"/>
        <v>8.9871204612981088E-4</v>
      </c>
      <c r="U265" s="39">
        <f t="shared" si="137"/>
        <v>8.9871204612981088E-4</v>
      </c>
      <c r="V265" s="39">
        <f t="shared" si="137"/>
        <v>8.9871204612981088E-4</v>
      </c>
      <c r="W265" s="39">
        <f t="shared" si="137"/>
        <v>8.9871204612981088E-4</v>
      </c>
      <c r="X265" s="39">
        <f t="shared" si="137"/>
        <v>8.9871204612981088E-4</v>
      </c>
      <c r="Y265" s="39">
        <f t="shared" si="137"/>
        <v>8.9871204612981088E-4</v>
      </c>
      <c r="Z265" s="39">
        <f t="shared" si="137"/>
        <v>8.9871204612981088E-4</v>
      </c>
      <c r="AA265" s="39">
        <f t="shared" si="137"/>
        <v>2.1809186999949013E-4</v>
      </c>
      <c r="AB265" s="39">
        <f t="shared" si="137"/>
        <v>2.1809186999949013E-4</v>
      </c>
      <c r="AC265" s="39">
        <f t="shared" si="137"/>
        <v>2.1809186999949013E-4</v>
      </c>
      <c r="AD265" s="39">
        <f t="shared" si="137"/>
        <v>2.1809186999949013E-4</v>
      </c>
      <c r="AE265" s="39">
        <f t="shared" si="137"/>
        <v>2.1809186999949013E-4</v>
      </c>
      <c r="AF265" s="39">
        <f t="shared" si="137"/>
        <v>2.1809186999949013E-4</v>
      </c>
      <c r="AG265" s="39"/>
    </row>
    <row r="266" spans="1:33" s="25" customFormat="1" x14ac:dyDescent="0.2">
      <c r="A266" s="38" t="s">
        <v>455</v>
      </c>
      <c r="B266" s="64"/>
      <c r="C266" s="39">
        <f>C164*C165/100</f>
        <v>3.9551691054729562E-5</v>
      </c>
      <c r="D266" s="39">
        <f t="shared" ref="D266:AF266" si="138">D164*D165/100</f>
        <v>3.9551691054729562E-5</v>
      </c>
      <c r="E266" s="39">
        <f t="shared" si="138"/>
        <v>3.9551691054729562E-5</v>
      </c>
      <c r="F266" s="39">
        <f t="shared" si="138"/>
        <v>3.9551691054729562E-5</v>
      </c>
      <c r="G266" s="39">
        <f t="shared" si="138"/>
        <v>3.9551691054729562E-5</v>
      </c>
      <c r="H266" s="39">
        <f t="shared" si="138"/>
        <v>3.9551691054729562E-5</v>
      </c>
      <c r="I266" s="39">
        <f t="shared" si="138"/>
        <v>3.9551691054729562E-5</v>
      </c>
      <c r="J266" s="39">
        <f t="shared" si="138"/>
        <v>3.9551691054729562E-5</v>
      </c>
      <c r="K266" s="39">
        <f t="shared" si="138"/>
        <v>2.3555268975549218E-4</v>
      </c>
      <c r="L266" s="39">
        <f t="shared" si="138"/>
        <v>2.3555268975549218E-4</v>
      </c>
      <c r="M266" s="39">
        <f t="shared" si="138"/>
        <v>2.3555268975549218E-4</v>
      </c>
      <c r="N266" s="39">
        <f t="shared" si="138"/>
        <v>2.3555268975549218E-4</v>
      </c>
      <c r="O266" s="39">
        <f t="shared" si="138"/>
        <v>2.3555268975549218E-4</v>
      </c>
      <c r="P266" s="39">
        <f t="shared" si="138"/>
        <v>2.3555268975549218E-4</v>
      </c>
      <c r="Q266" s="39">
        <f t="shared" si="138"/>
        <v>2.3555268975549218E-4</v>
      </c>
      <c r="R266" s="39">
        <f t="shared" si="138"/>
        <v>1.9914584691965883E-4</v>
      </c>
      <c r="S266" s="39">
        <f t="shared" si="138"/>
        <v>1.9914584691965883E-4</v>
      </c>
      <c r="T266" s="39">
        <f t="shared" si="138"/>
        <v>1.9914584691965883E-4</v>
      </c>
      <c r="U266" s="39">
        <f t="shared" si="138"/>
        <v>1.9914584691965883E-4</v>
      </c>
      <c r="V266" s="39">
        <f t="shared" si="138"/>
        <v>1.9914584691965883E-4</v>
      </c>
      <c r="W266" s="39">
        <f t="shared" si="138"/>
        <v>1.9914584691965883E-4</v>
      </c>
      <c r="X266" s="39">
        <f t="shared" si="138"/>
        <v>1.9914584691965883E-4</v>
      </c>
      <c r="Y266" s="39">
        <f t="shared" si="138"/>
        <v>1.9914584691965883E-4</v>
      </c>
      <c r="Z266" s="39">
        <f t="shared" si="138"/>
        <v>1.9914584691965883E-4</v>
      </c>
      <c r="AA266" s="39">
        <f t="shared" si="138"/>
        <v>3.9551691054729562E-5</v>
      </c>
      <c r="AB266" s="39">
        <f t="shared" si="138"/>
        <v>3.9551691054729562E-5</v>
      </c>
      <c r="AC266" s="39">
        <f t="shared" si="138"/>
        <v>3.9551691054729562E-5</v>
      </c>
      <c r="AD266" s="39">
        <f t="shared" si="138"/>
        <v>3.9551691054729562E-5</v>
      </c>
      <c r="AE266" s="39">
        <f t="shared" si="138"/>
        <v>3.9551691054729562E-5</v>
      </c>
      <c r="AF266" s="39">
        <f t="shared" si="138"/>
        <v>3.9551691054729562E-5</v>
      </c>
      <c r="AG266" s="39"/>
    </row>
    <row r="267" spans="1:33" s="25" customFormat="1" x14ac:dyDescent="0.2">
      <c r="A267" s="38" t="s">
        <v>418</v>
      </c>
      <c r="B267" s="64"/>
      <c r="C267" s="39">
        <f>C166*C167/100</f>
        <v>1.8090617085141932E-6</v>
      </c>
      <c r="D267" s="39">
        <f t="shared" ref="D267:AF267" si="139">D166*D167/100</f>
        <v>1.8090617085141932E-6</v>
      </c>
      <c r="E267" s="39">
        <f t="shared" si="139"/>
        <v>1.8090617085141932E-6</v>
      </c>
      <c r="F267" s="39">
        <f t="shared" si="139"/>
        <v>1.8090617085141932E-6</v>
      </c>
      <c r="G267" s="39">
        <f t="shared" si="139"/>
        <v>1.8090617085141932E-6</v>
      </c>
      <c r="H267" s="39">
        <f t="shared" si="139"/>
        <v>1.8090617085141932E-6</v>
      </c>
      <c r="I267" s="39">
        <f t="shared" si="139"/>
        <v>1.8090617085141932E-6</v>
      </c>
      <c r="J267" s="39">
        <f t="shared" si="139"/>
        <v>1.8090617085141932E-6</v>
      </c>
      <c r="K267" s="39">
        <f t="shared" si="139"/>
        <v>3.9554813225107456E-7</v>
      </c>
      <c r="L267" s="39">
        <f t="shared" si="139"/>
        <v>3.9554813225107456E-7</v>
      </c>
      <c r="M267" s="39">
        <f t="shared" si="139"/>
        <v>3.9554813225107456E-7</v>
      </c>
      <c r="N267" s="39">
        <f t="shared" si="139"/>
        <v>3.9554813225107456E-7</v>
      </c>
      <c r="O267" s="39">
        <f t="shared" si="139"/>
        <v>3.9554813225107456E-7</v>
      </c>
      <c r="P267" s="39">
        <f t="shared" si="139"/>
        <v>3.9554813225107456E-7</v>
      </c>
      <c r="Q267" s="39">
        <f t="shared" si="139"/>
        <v>3.9554813225107456E-7</v>
      </c>
      <c r="R267" s="39">
        <f t="shared" si="139"/>
        <v>3.9637079999999999E-7</v>
      </c>
      <c r="S267" s="39">
        <f t="shared" si="139"/>
        <v>3.9637079999999999E-7</v>
      </c>
      <c r="T267" s="39">
        <f t="shared" si="139"/>
        <v>3.9637079999999999E-7</v>
      </c>
      <c r="U267" s="39">
        <f t="shared" si="139"/>
        <v>3.9637079999999999E-7</v>
      </c>
      <c r="V267" s="39">
        <f t="shared" si="139"/>
        <v>3.9637079999999999E-7</v>
      </c>
      <c r="W267" s="39">
        <f t="shared" si="139"/>
        <v>3.9637079999999999E-7</v>
      </c>
      <c r="X267" s="39">
        <f t="shared" si="139"/>
        <v>3.9637079999999999E-7</v>
      </c>
      <c r="Y267" s="39">
        <f t="shared" si="139"/>
        <v>3.9637079999999999E-7</v>
      </c>
      <c r="Z267" s="39">
        <f t="shared" si="139"/>
        <v>3.9637079999999999E-7</v>
      </c>
      <c r="AA267" s="39">
        <f t="shared" si="139"/>
        <v>1.8090617085141932E-6</v>
      </c>
      <c r="AB267" s="39">
        <f t="shared" si="139"/>
        <v>1.8090617085141932E-6</v>
      </c>
      <c r="AC267" s="39">
        <f t="shared" si="139"/>
        <v>1.8090617085141932E-6</v>
      </c>
      <c r="AD267" s="39">
        <f t="shared" si="139"/>
        <v>1.8090617085141932E-6</v>
      </c>
      <c r="AE267" s="39">
        <f t="shared" si="139"/>
        <v>1.8090617085141932E-6</v>
      </c>
      <c r="AF267" s="39">
        <f t="shared" si="139"/>
        <v>1.8090617085141932E-6</v>
      </c>
      <c r="AG267" s="39"/>
    </row>
    <row r="268" spans="1:33" s="25" customFormat="1" x14ac:dyDescent="0.2">
      <c r="A268" s="38" t="s">
        <v>419</v>
      </c>
      <c r="B268" s="64"/>
      <c r="C268" s="39">
        <f>C168*C169/100</f>
        <v>1.00706589408472E-4</v>
      </c>
      <c r="D268" s="39">
        <f t="shared" ref="D268:AF268" si="140">D168*D169/100</f>
        <v>1.00706589408472E-4</v>
      </c>
      <c r="E268" s="39">
        <f t="shared" si="140"/>
        <v>1.00706589408472E-4</v>
      </c>
      <c r="F268" s="39">
        <f t="shared" si="140"/>
        <v>1.00706589408472E-4</v>
      </c>
      <c r="G268" s="39">
        <f t="shared" si="140"/>
        <v>1.00706589408472E-4</v>
      </c>
      <c r="H268" s="39">
        <f t="shared" si="140"/>
        <v>1.00706589408472E-4</v>
      </c>
      <c r="I268" s="39">
        <f t="shared" si="140"/>
        <v>1.00706589408472E-4</v>
      </c>
      <c r="J268" s="39">
        <f t="shared" si="140"/>
        <v>1.00706589408472E-4</v>
      </c>
      <c r="K268" s="39">
        <f t="shared" si="140"/>
        <v>5.3836481072147881E-5</v>
      </c>
      <c r="L268" s="39">
        <f t="shared" si="140"/>
        <v>5.3836481072147881E-5</v>
      </c>
      <c r="M268" s="39">
        <f t="shared" si="140"/>
        <v>5.3836481072147881E-5</v>
      </c>
      <c r="N268" s="39">
        <f t="shared" si="140"/>
        <v>5.3836481072147881E-5</v>
      </c>
      <c r="O268" s="39">
        <f t="shared" si="140"/>
        <v>5.3836481072147881E-5</v>
      </c>
      <c r="P268" s="39">
        <f t="shared" si="140"/>
        <v>5.3836481072147881E-5</v>
      </c>
      <c r="Q268" s="39">
        <f t="shared" si="140"/>
        <v>5.3836481072147881E-5</v>
      </c>
      <c r="R268" s="39">
        <f t="shared" si="140"/>
        <v>5.3836425457148967E-5</v>
      </c>
      <c r="S268" s="39">
        <f t="shared" si="140"/>
        <v>5.3836425457148967E-5</v>
      </c>
      <c r="T268" s="39">
        <f t="shared" si="140"/>
        <v>5.3836425457148967E-5</v>
      </c>
      <c r="U268" s="39">
        <f t="shared" si="140"/>
        <v>5.3836425457148967E-5</v>
      </c>
      <c r="V268" s="39">
        <f t="shared" si="140"/>
        <v>5.3836425457148967E-5</v>
      </c>
      <c r="W268" s="39">
        <f t="shared" si="140"/>
        <v>5.3836425457148967E-5</v>
      </c>
      <c r="X268" s="39">
        <f t="shared" si="140"/>
        <v>5.3836425457148967E-5</v>
      </c>
      <c r="Y268" s="39">
        <f t="shared" si="140"/>
        <v>5.3836425457148967E-5</v>
      </c>
      <c r="Z268" s="39">
        <f t="shared" si="140"/>
        <v>5.3836425457148967E-5</v>
      </c>
      <c r="AA268" s="39">
        <f t="shared" si="140"/>
        <v>1.00706589408472E-4</v>
      </c>
      <c r="AB268" s="39">
        <f t="shared" si="140"/>
        <v>1.00706589408472E-4</v>
      </c>
      <c r="AC268" s="39">
        <f t="shared" si="140"/>
        <v>1.00706589408472E-4</v>
      </c>
      <c r="AD268" s="39">
        <f t="shared" si="140"/>
        <v>1.00706589408472E-4</v>
      </c>
      <c r="AE268" s="39">
        <f t="shared" si="140"/>
        <v>1.00706589408472E-4</v>
      </c>
      <c r="AF268" s="39">
        <f t="shared" si="140"/>
        <v>1.00706589408472E-4</v>
      </c>
      <c r="AG268" s="39"/>
    </row>
    <row r="269" spans="1:33" s="25" customFormat="1" x14ac:dyDescent="0.2">
      <c r="A269" s="38" t="s">
        <v>332</v>
      </c>
      <c r="B269" s="64"/>
      <c r="C269" s="39">
        <f>C170*C171/100</f>
        <v>1.7963687571391522E-6</v>
      </c>
      <c r="D269" s="39">
        <f t="shared" ref="D269:AF269" si="141">D170*D171/100</f>
        <v>1.7963687571391522E-6</v>
      </c>
      <c r="E269" s="39">
        <f t="shared" si="141"/>
        <v>1.7963687571391522E-6</v>
      </c>
      <c r="F269" s="39">
        <f t="shared" si="141"/>
        <v>1.7963687571391522E-6</v>
      </c>
      <c r="G269" s="39">
        <f t="shared" si="141"/>
        <v>1.7963687571391522E-6</v>
      </c>
      <c r="H269" s="39">
        <f t="shared" si="141"/>
        <v>1.7963687571391522E-6</v>
      </c>
      <c r="I269" s="39">
        <f t="shared" si="141"/>
        <v>1.7963687571391522E-6</v>
      </c>
      <c r="J269" s="39">
        <f t="shared" si="141"/>
        <v>1.7963687571391522E-6</v>
      </c>
      <c r="K269" s="39">
        <f t="shared" si="141"/>
        <v>5.1490036631730986E-7</v>
      </c>
      <c r="L269" s="39">
        <f t="shared" si="141"/>
        <v>5.1490036631730986E-7</v>
      </c>
      <c r="M269" s="39">
        <f t="shared" si="141"/>
        <v>5.1490036631730986E-7</v>
      </c>
      <c r="N269" s="39">
        <f t="shared" si="141"/>
        <v>5.1490036631730986E-7</v>
      </c>
      <c r="O269" s="39">
        <f t="shared" si="141"/>
        <v>5.1490036631730986E-7</v>
      </c>
      <c r="P269" s="39">
        <f t="shared" si="141"/>
        <v>5.1490036631730986E-7</v>
      </c>
      <c r="Q269" s="39">
        <f t="shared" si="141"/>
        <v>5.1490036631730986E-7</v>
      </c>
      <c r="R269" s="39">
        <f t="shared" si="141"/>
        <v>5.1628976313037813E-7</v>
      </c>
      <c r="S269" s="39">
        <f t="shared" si="141"/>
        <v>5.1628976313037813E-7</v>
      </c>
      <c r="T269" s="39">
        <f t="shared" si="141"/>
        <v>5.1628976313037813E-7</v>
      </c>
      <c r="U269" s="39">
        <f t="shared" si="141"/>
        <v>5.1628976313037813E-7</v>
      </c>
      <c r="V269" s="39">
        <f t="shared" si="141"/>
        <v>5.1628976313037813E-7</v>
      </c>
      <c r="W269" s="39">
        <f t="shared" si="141"/>
        <v>5.1628976313037813E-7</v>
      </c>
      <c r="X269" s="39">
        <f t="shared" si="141"/>
        <v>5.1628976313037813E-7</v>
      </c>
      <c r="Y269" s="39">
        <f t="shared" si="141"/>
        <v>5.1628976313037813E-7</v>
      </c>
      <c r="Z269" s="39">
        <f t="shared" si="141"/>
        <v>5.1628976313037813E-7</v>
      </c>
      <c r="AA269" s="39">
        <f t="shared" si="141"/>
        <v>1.7963687571391522E-6</v>
      </c>
      <c r="AB269" s="39">
        <f t="shared" si="141"/>
        <v>1.7963687571391522E-6</v>
      </c>
      <c r="AC269" s="39">
        <f t="shared" si="141"/>
        <v>1.7963687571391522E-6</v>
      </c>
      <c r="AD269" s="39">
        <f t="shared" si="141"/>
        <v>1.7963687571391522E-6</v>
      </c>
      <c r="AE269" s="39">
        <f t="shared" si="141"/>
        <v>1.7963687571391522E-6</v>
      </c>
      <c r="AF269" s="39">
        <f t="shared" si="141"/>
        <v>1.7963687571391522E-6</v>
      </c>
      <c r="AG269" s="39"/>
    </row>
    <row r="270" spans="1:33" s="25" customFormat="1" x14ac:dyDescent="0.2">
      <c r="A270" s="38" t="s">
        <v>456</v>
      </c>
      <c r="B270" s="64"/>
      <c r="C270" s="39">
        <f>IF(C233&gt;0,C185*C186/100,0)</f>
        <v>0.11274708054396994</v>
      </c>
      <c r="D270" s="39">
        <f t="shared" ref="D270:AF270" si="142">IF(D233&gt;0,D185*D186/100,0)</f>
        <v>0.11274708054396994</v>
      </c>
      <c r="E270" s="39">
        <f t="shared" si="142"/>
        <v>0.11274708054396994</v>
      </c>
      <c r="F270" s="39">
        <f t="shared" si="142"/>
        <v>0.11274708054396994</v>
      </c>
      <c r="G270" s="39">
        <f t="shared" si="142"/>
        <v>0.11274708054396994</v>
      </c>
      <c r="H270" s="39">
        <f t="shared" si="142"/>
        <v>0.11274708054396994</v>
      </c>
      <c r="I270" s="39">
        <f t="shared" si="142"/>
        <v>0.11274708054396994</v>
      </c>
      <c r="J270" s="39">
        <f t="shared" si="142"/>
        <v>0.11274708054396994</v>
      </c>
      <c r="K270" s="39">
        <f t="shared" si="142"/>
        <v>0</v>
      </c>
      <c r="L270" s="39">
        <f t="shared" si="142"/>
        <v>0</v>
      </c>
      <c r="M270" s="39">
        <f t="shared" si="142"/>
        <v>0</v>
      </c>
      <c r="N270" s="39">
        <f t="shared" si="142"/>
        <v>0</v>
      </c>
      <c r="O270" s="39">
        <f t="shared" si="142"/>
        <v>0</v>
      </c>
      <c r="P270" s="39">
        <f t="shared" si="142"/>
        <v>0</v>
      </c>
      <c r="Q270" s="39">
        <f t="shared" si="142"/>
        <v>0</v>
      </c>
      <c r="R270" s="39">
        <f t="shared" si="142"/>
        <v>0</v>
      </c>
      <c r="S270" s="39">
        <f t="shared" si="142"/>
        <v>0.11274708054396994</v>
      </c>
      <c r="T270" s="39">
        <f t="shared" si="142"/>
        <v>0.11274708054396994</v>
      </c>
      <c r="U270" s="39">
        <f t="shared" si="142"/>
        <v>0.11274708054396994</v>
      </c>
      <c r="V270" s="39">
        <f t="shared" si="142"/>
        <v>0</v>
      </c>
      <c r="W270" s="39">
        <f t="shared" si="142"/>
        <v>0</v>
      </c>
      <c r="X270" s="39">
        <f t="shared" si="142"/>
        <v>0</v>
      </c>
      <c r="Y270" s="39">
        <f t="shared" si="142"/>
        <v>0.11274708054396994</v>
      </c>
      <c r="Z270" s="39">
        <f t="shared" si="142"/>
        <v>0.11274708054396994</v>
      </c>
      <c r="AA270" s="39">
        <f t="shared" si="142"/>
        <v>0.11274708054396994</v>
      </c>
      <c r="AB270" s="39">
        <f t="shared" si="142"/>
        <v>0.11274708054396994</v>
      </c>
      <c r="AC270" s="39">
        <f t="shared" si="142"/>
        <v>0.11274708054396994</v>
      </c>
      <c r="AD270" s="39">
        <f t="shared" si="142"/>
        <v>0.11274708054396994</v>
      </c>
      <c r="AE270" s="39">
        <f t="shared" si="142"/>
        <v>0.11274708054396994</v>
      </c>
      <c r="AF270" s="39">
        <f t="shared" si="142"/>
        <v>0.11274708054396994</v>
      </c>
      <c r="AG270" s="39"/>
    </row>
    <row r="271" spans="1:33" s="25" customFormat="1" x14ac:dyDescent="0.2">
      <c r="A271" s="38" t="s">
        <v>457</v>
      </c>
      <c r="B271" s="64"/>
      <c r="C271" s="39">
        <f>IF(C233&gt;0,C191*C192/100,0)</f>
        <v>1.2060162722306352E-3</v>
      </c>
      <c r="D271" s="39">
        <f t="shared" ref="D271:AF271" si="143">IF(D233&gt;0,D191*D192/100,0)</f>
        <v>1.2060162722306352E-3</v>
      </c>
      <c r="E271" s="39">
        <f t="shared" si="143"/>
        <v>1.2060162722306352E-3</v>
      </c>
      <c r="F271" s="39">
        <f t="shared" si="143"/>
        <v>1.2060162722306352E-3</v>
      </c>
      <c r="G271" s="39">
        <f t="shared" si="143"/>
        <v>1.2060162722306352E-3</v>
      </c>
      <c r="H271" s="39">
        <f t="shared" si="143"/>
        <v>1.2060162722306352E-3</v>
      </c>
      <c r="I271" s="39">
        <f t="shared" si="143"/>
        <v>1.2060162722306352E-3</v>
      </c>
      <c r="J271" s="39">
        <f t="shared" si="143"/>
        <v>1.2060162722306352E-3</v>
      </c>
      <c r="K271" s="39">
        <f t="shared" si="143"/>
        <v>0</v>
      </c>
      <c r="L271" s="39">
        <f t="shared" si="143"/>
        <v>0</v>
      </c>
      <c r="M271" s="39">
        <f t="shared" si="143"/>
        <v>0</v>
      </c>
      <c r="N271" s="39">
        <f t="shared" si="143"/>
        <v>0</v>
      </c>
      <c r="O271" s="39">
        <f t="shared" si="143"/>
        <v>0</v>
      </c>
      <c r="P271" s="39">
        <f t="shared" si="143"/>
        <v>0</v>
      </c>
      <c r="Q271" s="39">
        <f t="shared" si="143"/>
        <v>0</v>
      </c>
      <c r="R271" s="39">
        <f t="shared" si="143"/>
        <v>0</v>
      </c>
      <c r="S271" s="39">
        <f t="shared" si="143"/>
        <v>1.2060162722306352E-3</v>
      </c>
      <c r="T271" s="39">
        <f t="shared" si="143"/>
        <v>1.2060162722306352E-3</v>
      </c>
      <c r="U271" s="39">
        <f t="shared" si="143"/>
        <v>1.2060162722306352E-3</v>
      </c>
      <c r="V271" s="39">
        <f t="shared" si="143"/>
        <v>0</v>
      </c>
      <c r="W271" s="39">
        <f t="shared" si="143"/>
        <v>0</v>
      </c>
      <c r="X271" s="39">
        <f t="shared" si="143"/>
        <v>0</v>
      </c>
      <c r="Y271" s="39">
        <f t="shared" si="143"/>
        <v>1.2060162722306352E-3</v>
      </c>
      <c r="Z271" s="39">
        <f t="shared" si="143"/>
        <v>1.2060162722306352E-3</v>
      </c>
      <c r="AA271" s="39">
        <f t="shared" si="143"/>
        <v>1.2060162722306352E-3</v>
      </c>
      <c r="AB271" s="39">
        <f t="shared" si="143"/>
        <v>1.2060162722306352E-3</v>
      </c>
      <c r="AC271" s="39">
        <f t="shared" si="143"/>
        <v>1.2060162722306352E-3</v>
      </c>
      <c r="AD271" s="39">
        <f t="shared" si="143"/>
        <v>1.2060162722306352E-3</v>
      </c>
      <c r="AE271" s="39">
        <f t="shared" si="143"/>
        <v>1.2060162722306352E-3</v>
      </c>
      <c r="AF271" s="39">
        <f t="shared" si="143"/>
        <v>1.2060162722306352E-3</v>
      </c>
      <c r="AG271" s="39"/>
    </row>
    <row r="272" spans="1:33" s="25" customFormat="1" x14ac:dyDescent="0.2">
      <c r="A272" s="38" t="s">
        <v>129</v>
      </c>
      <c r="B272" s="64"/>
      <c r="C272" s="39">
        <f>IF(C233&gt;0,C189*C190/100,0)</f>
        <v>0.24226049937421834</v>
      </c>
      <c r="D272" s="39">
        <f t="shared" ref="D272:AF272" si="144">IF(D233&gt;0,D189*D190/100,0)</f>
        <v>0.24226049937421834</v>
      </c>
      <c r="E272" s="39">
        <f t="shared" si="144"/>
        <v>0.24226049937421834</v>
      </c>
      <c r="F272" s="39">
        <f t="shared" si="144"/>
        <v>0.24226049937421834</v>
      </c>
      <c r="G272" s="39">
        <f t="shared" si="144"/>
        <v>0.24226049937421834</v>
      </c>
      <c r="H272" s="39">
        <f t="shared" si="144"/>
        <v>0.24226049937421834</v>
      </c>
      <c r="I272" s="39">
        <f t="shared" si="144"/>
        <v>0.24226049937421834</v>
      </c>
      <c r="J272" s="39">
        <f t="shared" si="144"/>
        <v>0.24226049937421834</v>
      </c>
      <c r="K272" s="39">
        <f t="shared" si="144"/>
        <v>0</v>
      </c>
      <c r="L272" s="39">
        <f t="shared" si="144"/>
        <v>0</v>
      </c>
      <c r="M272" s="39">
        <f t="shared" si="144"/>
        <v>0</v>
      </c>
      <c r="N272" s="39">
        <f t="shared" si="144"/>
        <v>0</v>
      </c>
      <c r="O272" s="39">
        <f t="shared" si="144"/>
        <v>0</v>
      </c>
      <c r="P272" s="39">
        <f t="shared" si="144"/>
        <v>0</v>
      </c>
      <c r="Q272" s="39">
        <f t="shared" si="144"/>
        <v>0</v>
      </c>
      <c r="R272" s="39">
        <f t="shared" si="144"/>
        <v>0</v>
      </c>
      <c r="S272" s="39">
        <f t="shared" si="144"/>
        <v>0.24226049937421834</v>
      </c>
      <c r="T272" s="39">
        <f t="shared" si="144"/>
        <v>0.24226049937421834</v>
      </c>
      <c r="U272" s="39">
        <f t="shared" si="144"/>
        <v>0.24226049937421834</v>
      </c>
      <c r="V272" s="39">
        <f t="shared" si="144"/>
        <v>0</v>
      </c>
      <c r="W272" s="39">
        <f t="shared" si="144"/>
        <v>0</v>
      </c>
      <c r="X272" s="39">
        <f t="shared" si="144"/>
        <v>0</v>
      </c>
      <c r="Y272" s="39">
        <f t="shared" si="144"/>
        <v>0.24226049937421834</v>
      </c>
      <c r="Z272" s="39">
        <f t="shared" si="144"/>
        <v>0.24226049937421834</v>
      </c>
      <c r="AA272" s="39">
        <f t="shared" si="144"/>
        <v>0.24226049937421834</v>
      </c>
      <c r="AB272" s="39">
        <f t="shared" si="144"/>
        <v>0.24226049937421834</v>
      </c>
      <c r="AC272" s="39">
        <f t="shared" si="144"/>
        <v>0.24226049937421834</v>
      </c>
      <c r="AD272" s="39">
        <f t="shared" si="144"/>
        <v>0.24226049937421834</v>
      </c>
      <c r="AE272" s="39">
        <f t="shared" si="144"/>
        <v>0.24226049937421834</v>
      </c>
      <c r="AF272" s="39">
        <f t="shared" si="144"/>
        <v>0.24226049937421834</v>
      </c>
      <c r="AG272" s="39"/>
    </row>
    <row r="273" spans="1:33" s="25" customFormat="1" x14ac:dyDescent="0.2">
      <c r="A273" s="38" t="s">
        <v>458</v>
      </c>
      <c r="B273" s="64"/>
      <c r="C273" s="39">
        <f>C198*C199/100</f>
        <v>0.10954126800331851</v>
      </c>
      <c r="D273" s="39">
        <f t="shared" ref="D273:AF273" si="145">D198*D199/100</f>
        <v>0.10954126800331851</v>
      </c>
      <c r="E273" s="39">
        <f t="shared" si="145"/>
        <v>0.10954126800331851</v>
      </c>
      <c r="F273" s="39">
        <f t="shared" si="145"/>
        <v>0.10954126800331851</v>
      </c>
      <c r="G273" s="39">
        <f t="shared" si="145"/>
        <v>0.10954126800331851</v>
      </c>
      <c r="H273" s="39">
        <f t="shared" si="145"/>
        <v>0.10954126800331851</v>
      </c>
      <c r="I273" s="39">
        <f t="shared" si="145"/>
        <v>0.10954126800331851</v>
      </c>
      <c r="J273" s="39">
        <f t="shared" si="145"/>
        <v>0.10954126800331851</v>
      </c>
      <c r="K273" s="39">
        <f t="shared" si="145"/>
        <v>0.10954126800331851</v>
      </c>
      <c r="L273" s="39">
        <f t="shared" si="145"/>
        <v>0.10954126800331851</v>
      </c>
      <c r="M273" s="39">
        <f t="shared" si="145"/>
        <v>0.10954126800331851</v>
      </c>
      <c r="N273" s="39">
        <f t="shared" si="145"/>
        <v>0.10954126800331851</v>
      </c>
      <c r="O273" s="39">
        <f t="shared" si="145"/>
        <v>0.10954126800331851</v>
      </c>
      <c r="P273" s="39">
        <f t="shared" si="145"/>
        <v>0.10954126800331851</v>
      </c>
      <c r="Q273" s="39">
        <f t="shared" si="145"/>
        <v>0.10954126800331851</v>
      </c>
      <c r="R273" s="39">
        <f t="shared" si="145"/>
        <v>0.10954126800331851</v>
      </c>
      <c r="S273" s="39">
        <f t="shared" si="145"/>
        <v>0.10954126800331851</v>
      </c>
      <c r="T273" s="39">
        <f t="shared" si="145"/>
        <v>0.10954126800331851</v>
      </c>
      <c r="U273" s="39">
        <f t="shared" si="145"/>
        <v>0.10954126800331851</v>
      </c>
      <c r="V273" s="39">
        <f t="shared" si="145"/>
        <v>0.10954126800331851</v>
      </c>
      <c r="W273" s="39">
        <f t="shared" si="145"/>
        <v>0.10954126800331851</v>
      </c>
      <c r="X273" s="39">
        <f t="shared" si="145"/>
        <v>0.10954126800331851</v>
      </c>
      <c r="Y273" s="39">
        <f t="shared" si="145"/>
        <v>0.10954126800331851</v>
      </c>
      <c r="Z273" s="39">
        <f t="shared" si="145"/>
        <v>0.10954126800331851</v>
      </c>
      <c r="AA273" s="39">
        <f t="shared" si="145"/>
        <v>0.10954126800331851</v>
      </c>
      <c r="AB273" s="39">
        <f t="shared" si="145"/>
        <v>0.10954126800331851</v>
      </c>
      <c r="AC273" s="39">
        <f t="shared" si="145"/>
        <v>0.10954126800331851</v>
      </c>
      <c r="AD273" s="39">
        <f t="shared" si="145"/>
        <v>0.10954126800331851</v>
      </c>
      <c r="AE273" s="39">
        <f t="shared" si="145"/>
        <v>0.10954126800331851</v>
      </c>
      <c r="AF273" s="39">
        <f t="shared" si="145"/>
        <v>0.10954126800331851</v>
      </c>
      <c r="AG273" s="39"/>
    </row>
    <row r="274" spans="1:33" s="25" customFormat="1" x14ac:dyDescent="0.2">
      <c r="A274" s="38" t="s">
        <v>283</v>
      </c>
      <c r="B274" s="64"/>
      <c r="C274" s="39">
        <f>(1/C198)*C199/100</f>
        <v>3.3651082459464294E-4</v>
      </c>
      <c r="D274" s="39">
        <f t="shared" ref="D274:AF274" si="146">(1/D198)*D199/100</f>
        <v>3.3651082459464294E-4</v>
      </c>
      <c r="E274" s="39">
        <f t="shared" si="146"/>
        <v>3.3651082459464294E-4</v>
      </c>
      <c r="F274" s="39">
        <f t="shared" si="146"/>
        <v>3.3651082459464294E-4</v>
      </c>
      <c r="G274" s="39">
        <f t="shared" si="146"/>
        <v>3.3651082459464294E-4</v>
      </c>
      <c r="H274" s="39">
        <f t="shared" si="146"/>
        <v>3.3651082459464294E-4</v>
      </c>
      <c r="I274" s="39">
        <f t="shared" si="146"/>
        <v>3.3651082459464294E-4</v>
      </c>
      <c r="J274" s="39">
        <f t="shared" si="146"/>
        <v>3.3651082459464294E-4</v>
      </c>
      <c r="K274" s="39">
        <f t="shared" si="146"/>
        <v>3.3651082459464294E-4</v>
      </c>
      <c r="L274" s="39">
        <f t="shared" si="146"/>
        <v>3.3651082459464294E-4</v>
      </c>
      <c r="M274" s="39">
        <f t="shared" si="146"/>
        <v>3.3651082459464294E-4</v>
      </c>
      <c r="N274" s="39">
        <f t="shared" si="146"/>
        <v>3.3651082459464294E-4</v>
      </c>
      <c r="O274" s="39">
        <f t="shared" si="146"/>
        <v>3.3651082459464294E-4</v>
      </c>
      <c r="P274" s="39">
        <f t="shared" si="146"/>
        <v>3.3651082459464294E-4</v>
      </c>
      <c r="Q274" s="39">
        <f t="shared" si="146"/>
        <v>3.3651082459464294E-4</v>
      </c>
      <c r="R274" s="39">
        <f t="shared" si="146"/>
        <v>3.3651082459464294E-4</v>
      </c>
      <c r="S274" s="39">
        <f t="shared" si="146"/>
        <v>3.3651082459464294E-4</v>
      </c>
      <c r="T274" s="39">
        <f t="shared" si="146"/>
        <v>3.3651082459464294E-4</v>
      </c>
      <c r="U274" s="39">
        <f t="shared" si="146"/>
        <v>3.3651082459464294E-4</v>
      </c>
      <c r="V274" s="39">
        <f t="shared" si="146"/>
        <v>3.3651082459464294E-4</v>
      </c>
      <c r="W274" s="39">
        <f t="shared" si="146"/>
        <v>3.3651082459464294E-4</v>
      </c>
      <c r="X274" s="39">
        <f t="shared" si="146"/>
        <v>3.3651082459464294E-4</v>
      </c>
      <c r="Y274" s="39">
        <f t="shared" si="146"/>
        <v>3.3651082459464294E-4</v>
      </c>
      <c r="Z274" s="39">
        <f t="shared" si="146"/>
        <v>3.3651082459464294E-4</v>
      </c>
      <c r="AA274" s="39">
        <f t="shared" si="146"/>
        <v>3.3651082459464294E-4</v>
      </c>
      <c r="AB274" s="39">
        <f t="shared" si="146"/>
        <v>3.3651082459464294E-4</v>
      </c>
      <c r="AC274" s="39">
        <f t="shared" si="146"/>
        <v>3.3651082459464294E-4</v>
      </c>
      <c r="AD274" s="39">
        <f t="shared" si="146"/>
        <v>3.3651082459464294E-4</v>
      </c>
      <c r="AE274" s="39">
        <f t="shared" si="146"/>
        <v>3.3651082459464294E-4</v>
      </c>
      <c r="AF274" s="39">
        <f t="shared" si="146"/>
        <v>3.3651082459464294E-4</v>
      </c>
      <c r="AG274" s="39"/>
    </row>
    <row r="275" spans="1:33" s="25" customFormat="1" x14ac:dyDescent="0.2">
      <c r="A275" s="38" t="s">
        <v>459</v>
      </c>
      <c r="B275" s="64"/>
      <c r="C275" s="39">
        <f>C204*C205/100</f>
        <v>1.0284509907617007E-3</v>
      </c>
      <c r="D275" s="39">
        <f t="shared" ref="D275:AF275" si="147">D204*D205/100</f>
        <v>1.0284509907617007E-3</v>
      </c>
      <c r="E275" s="39">
        <f t="shared" si="147"/>
        <v>1.0284509907617007E-3</v>
      </c>
      <c r="F275" s="39">
        <f t="shared" si="147"/>
        <v>1.0284509907617007E-3</v>
      </c>
      <c r="G275" s="39">
        <f t="shared" si="147"/>
        <v>1.0284509907617007E-3</v>
      </c>
      <c r="H275" s="39">
        <f t="shared" si="147"/>
        <v>1.0284509907617007E-3</v>
      </c>
      <c r="I275" s="39">
        <f t="shared" si="147"/>
        <v>1.0284509907617007E-3</v>
      </c>
      <c r="J275" s="39">
        <f t="shared" si="147"/>
        <v>1.0284509907617007E-3</v>
      </c>
      <c r="K275" s="39">
        <f t="shared" si="147"/>
        <v>1.0284509907617007E-3</v>
      </c>
      <c r="L275" s="39">
        <f t="shared" si="147"/>
        <v>1.0284509907617007E-3</v>
      </c>
      <c r="M275" s="39">
        <f t="shared" si="147"/>
        <v>1.0284509907617007E-3</v>
      </c>
      <c r="N275" s="39">
        <f t="shared" si="147"/>
        <v>1.0284509907617007E-3</v>
      </c>
      <c r="O275" s="39">
        <f t="shared" si="147"/>
        <v>1.0284509907617007E-3</v>
      </c>
      <c r="P275" s="39">
        <f t="shared" si="147"/>
        <v>1.0284509907617007E-3</v>
      </c>
      <c r="Q275" s="39">
        <f t="shared" si="147"/>
        <v>1.0284509907617007E-3</v>
      </c>
      <c r="R275" s="39">
        <f t="shared" si="147"/>
        <v>1.0284509907617007E-3</v>
      </c>
      <c r="S275" s="39">
        <f t="shared" si="147"/>
        <v>1.0284509907617007E-3</v>
      </c>
      <c r="T275" s="39">
        <f t="shared" si="147"/>
        <v>1.0284509907617007E-3</v>
      </c>
      <c r="U275" s="39">
        <f t="shared" si="147"/>
        <v>1.0284509907617007E-3</v>
      </c>
      <c r="V275" s="39">
        <f t="shared" si="147"/>
        <v>1.0284509907617007E-3</v>
      </c>
      <c r="W275" s="39">
        <f t="shared" si="147"/>
        <v>1.0284509907617007E-3</v>
      </c>
      <c r="X275" s="39">
        <f t="shared" si="147"/>
        <v>1.0284509907617007E-3</v>
      </c>
      <c r="Y275" s="39">
        <f t="shared" si="147"/>
        <v>1.0284509907617007E-3</v>
      </c>
      <c r="Z275" s="39">
        <f t="shared" si="147"/>
        <v>1.0284509907617007E-3</v>
      </c>
      <c r="AA275" s="39">
        <f t="shared" si="147"/>
        <v>1.0284509907617007E-3</v>
      </c>
      <c r="AB275" s="39">
        <f t="shared" si="147"/>
        <v>1.0284509907617007E-3</v>
      </c>
      <c r="AC275" s="39">
        <f t="shared" si="147"/>
        <v>1.0284509907617007E-3</v>
      </c>
      <c r="AD275" s="39">
        <f t="shared" si="147"/>
        <v>1.0284509907617007E-3</v>
      </c>
      <c r="AE275" s="39">
        <f t="shared" si="147"/>
        <v>1.0284509907617007E-3</v>
      </c>
      <c r="AF275" s="39">
        <f t="shared" si="147"/>
        <v>1.0284509907617007E-3</v>
      </c>
      <c r="AG275" s="39"/>
    </row>
    <row r="276" spans="1:33" s="25" customFormat="1" x14ac:dyDescent="0.2">
      <c r="A276" s="38" t="s">
        <v>284</v>
      </c>
      <c r="B276" s="64"/>
      <c r="C276" s="39">
        <f>C206*C207/100</f>
        <v>7.1585386499631578E-3</v>
      </c>
      <c r="D276" s="39">
        <f t="shared" ref="D276:AF276" si="148">D206*D207/100</f>
        <v>7.1585386499631578E-3</v>
      </c>
      <c r="E276" s="39">
        <f t="shared" si="148"/>
        <v>7.1585386499631578E-3</v>
      </c>
      <c r="F276" s="39">
        <f t="shared" si="148"/>
        <v>7.1585386499631578E-3</v>
      </c>
      <c r="G276" s="39">
        <f t="shared" si="148"/>
        <v>7.1585386499631578E-3</v>
      </c>
      <c r="H276" s="39">
        <f t="shared" si="148"/>
        <v>7.1585386499631578E-3</v>
      </c>
      <c r="I276" s="39">
        <f t="shared" si="148"/>
        <v>7.1585386499631578E-3</v>
      </c>
      <c r="J276" s="39">
        <f t="shared" si="148"/>
        <v>7.1585386499631578E-3</v>
      </c>
      <c r="K276" s="39">
        <f t="shared" si="148"/>
        <v>7.1585386499631578E-3</v>
      </c>
      <c r="L276" s="39">
        <f t="shared" si="148"/>
        <v>7.1585386499631578E-3</v>
      </c>
      <c r="M276" s="39">
        <f t="shared" si="148"/>
        <v>7.1585386499631578E-3</v>
      </c>
      <c r="N276" s="39">
        <f t="shared" si="148"/>
        <v>7.1585386499631578E-3</v>
      </c>
      <c r="O276" s="39">
        <f t="shared" si="148"/>
        <v>7.1585386499631578E-3</v>
      </c>
      <c r="P276" s="39">
        <f t="shared" si="148"/>
        <v>7.1585386499631578E-3</v>
      </c>
      <c r="Q276" s="39">
        <f t="shared" si="148"/>
        <v>7.1585386499631578E-3</v>
      </c>
      <c r="R276" s="39">
        <f t="shared" si="148"/>
        <v>7.1585386499631578E-3</v>
      </c>
      <c r="S276" s="39">
        <f t="shared" si="148"/>
        <v>7.1585386499631578E-3</v>
      </c>
      <c r="T276" s="39">
        <f t="shared" si="148"/>
        <v>7.1585386499631578E-3</v>
      </c>
      <c r="U276" s="39">
        <f t="shared" si="148"/>
        <v>7.1585386499631578E-3</v>
      </c>
      <c r="V276" s="39">
        <f t="shared" si="148"/>
        <v>7.1585386499631578E-3</v>
      </c>
      <c r="W276" s="39">
        <f t="shared" si="148"/>
        <v>7.1585386499631578E-3</v>
      </c>
      <c r="X276" s="39">
        <f t="shared" si="148"/>
        <v>7.1585386499631578E-3</v>
      </c>
      <c r="Y276" s="39">
        <f t="shared" si="148"/>
        <v>7.1585386499631578E-3</v>
      </c>
      <c r="Z276" s="39">
        <f t="shared" si="148"/>
        <v>7.1585386499631578E-3</v>
      </c>
      <c r="AA276" s="39">
        <f t="shared" si="148"/>
        <v>7.1585386499631578E-3</v>
      </c>
      <c r="AB276" s="39">
        <f t="shared" si="148"/>
        <v>7.1585386499631578E-3</v>
      </c>
      <c r="AC276" s="39">
        <f t="shared" si="148"/>
        <v>7.1585386499631578E-3</v>
      </c>
      <c r="AD276" s="39">
        <f t="shared" si="148"/>
        <v>7.1585386499631578E-3</v>
      </c>
      <c r="AE276" s="39">
        <f t="shared" si="148"/>
        <v>7.1585386499631578E-3</v>
      </c>
      <c r="AF276" s="39">
        <f t="shared" si="148"/>
        <v>7.1585386499631578E-3</v>
      </c>
      <c r="AG276" s="39"/>
    </row>
    <row r="277" spans="1:33" s="25" customFormat="1" x14ac:dyDescent="0.2">
      <c r="A277" s="38" t="s">
        <v>285</v>
      </c>
      <c r="B277" s="64"/>
      <c r="C277" s="39">
        <f>C202*C203/100</f>
        <v>0.23729606333712985</v>
      </c>
      <c r="D277" s="39">
        <f t="shared" ref="D277:AF277" si="149">D202*D203/100</f>
        <v>0.23729606333712985</v>
      </c>
      <c r="E277" s="39">
        <f t="shared" si="149"/>
        <v>0.23729606333712985</v>
      </c>
      <c r="F277" s="39">
        <f t="shared" si="149"/>
        <v>0.23729606333712985</v>
      </c>
      <c r="G277" s="39">
        <f t="shared" si="149"/>
        <v>0.23729606333712985</v>
      </c>
      <c r="H277" s="39">
        <f t="shared" si="149"/>
        <v>0.23729606333712985</v>
      </c>
      <c r="I277" s="39">
        <f t="shared" si="149"/>
        <v>0.23729606333712985</v>
      </c>
      <c r="J277" s="39">
        <f t="shared" si="149"/>
        <v>0.23729606333712985</v>
      </c>
      <c r="K277" s="39">
        <f t="shared" si="149"/>
        <v>0.23729606333712985</v>
      </c>
      <c r="L277" s="39">
        <f t="shared" si="149"/>
        <v>0.23729606333712985</v>
      </c>
      <c r="M277" s="39">
        <f t="shared" si="149"/>
        <v>0.23729606333712985</v>
      </c>
      <c r="N277" s="39">
        <f t="shared" si="149"/>
        <v>0.23729606333712985</v>
      </c>
      <c r="O277" s="39">
        <f t="shared" si="149"/>
        <v>0.23729606333712985</v>
      </c>
      <c r="P277" s="39">
        <f t="shared" si="149"/>
        <v>0.23729606333712985</v>
      </c>
      <c r="Q277" s="39">
        <f t="shared" si="149"/>
        <v>0.23729606333712985</v>
      </c>
      <c r="R277" s="39">
        <f t="shared" si="149"/>
        <v>0.23729606333712985</v>
      </c>
      <c r="S277" s="39">
        <f t="shared" si="149"/>
        <v>0.23729606333712985</v>
      </c>
      <c r="T277" s="39">
        <f t="shared" si="149"/>
        <v>0.23729606333712985</v>
      </c>
      <c r="U277" s="39">
        <f t="shared" si="149"/>
        <v>0.23729606333712985</v>
      </c>
      <c r="V277" s="39">
        <f t="shared" si="149"/>
        <v>0.23729606333712985</v>
      </c>
      <c r="W277" s="39">
        <f t="shared" si="149"/>
        <v>0.23729606333712985</v>
      </c>
      <c r="X277" s="39">
        <f t="shared" si="149"/>
        <v>0.23729606333712985</v>
      </c>
      <c r="Y277" s="39">
        <f t="shared" si="149"/>
        <v>0.23729606333712985</v>
      </c>
      <c r="Z277" s="39">
        <f t="shared" si="149"/>
        <v>0.23729606333712985</v>
      </c>
      <c r="AA277" s="39">
        <f t="shared" si="149"/>
        <v>0.23729606333712985</v>
      </c>
      <c r="AB277" s="39">
        <f t="shared" si="149"/>
        <v>0.23729606333712985</v>
      </c>
      <c r="AC277" s="39">
        <f t="shared" si="149"/>
        <v>0.23729606333712985</v>
      </c>
      <c r="AD277" s="39">
        <f t="shared" si="149"/>
        <v>0.23729606333712985</v>
      </c>
      <c r="AE277" s="39">
        <f t="shared" si="149"/>
        <v>0.23729606333712985</v>
      </c>
      <c r="AF277" s="39">
        <f t="shared" si="149"/>
        <v>0.23729606333712985</v>
      </c>
      <c r="AG277" s="39"/>
    </row>
    <row r="278" spans="1:33" x14ac:dyDescent="0.2">
      <c r="A278" s="38" t="s">
        <v>474</v>
      </c>
      <c r="B278" s="64"/>
      <c r="C278" s="28">
        <f>IF(C229&lt;C228,C212*C230/100,C212*C230/100)</f>
        <v>1.5061387876275173E-16</v>
      </c>
      <c r="D278" s="28">
        <f t="shared" ref="D278:AF278" si="150">IF(D229&lt;D228,D212*D230/100,D212*D230/100)</f>
        <v>1.5061387876275173E-16</v>
      </c>
      <c r="E278" s="28">
        <f t="shared" si="150"/>
        <v>1.5061387876275173E-16</v>
      </c>
      <c r="F278" s="28">
        <f t="shared" si="150"/>
        <v>1.5061387876275173E-16</v>
      </c>
      <c r="G278" s="28">
        <f t="shared" si="150"/>
        <v>1.5061387876275173E-16</v>
      </c>
      <c r="H278" s="28">
        <f t="shared" si="150"/>
        <v>1.5061387876275173E-16</v>
      </c>
      <c r="I278" s="28">
        <f t="shared" si="150"/>
        <v>1.5061387876275173E-16</v>
      </c>
      <c r="J278" s="28">
        <f t="shared" si="150"/>
        <v>1.5061387876275173E-16</v>
      </c>
      <c r="K278" s="28">
        <f t="shared" si="150"/>
        <v>1.0097139018460159E-16</v>
      </c>
      <c r="L278" s="28">
        <f t="shared" si="150"/>
        <v>1.2258077750219231E-16</v>
      </c>
      <c r="M278" s="28">
        <f t="shared" si="150"/>
        <v>1.2018727061362769E-16</v>
      </c>
      <c r="N278" s="28">
        <f t="shared" si="150"/>
        <v>1.4117890130235094E-16</v>
      </c>
      <c r="O278" s="28">
        <f t="shared" si="150"/>
        <v>1.031542841217847E-16</v>
      </c>
      <c r="P278" s="28">
        <f t="shared" si="150"/>
        <v>9.7103646701508323E-17</v>
      </c>
      <c r="Q278" s="28">
        <f t="shared" si="150"/>
        <v>7.5305720690306261E-17</v>
      </c>
      <c r="R278" s="28">
        <f t="shared" si="150"/>
        <v>1.4532970766918307E-16</v>
      </c>
      <c r="S278" s="28">
        <f t="shared" si="150"/>
        <v>1.5061387876275173E-16</v>
      </c>
      <c r="T278" s="28">
        <f t="shared" si="150"/>
        <v>1.5061387876275173E-16</v>
      </c>
      <c r="U278" s="28">
        <f t="shared" si="150"/>
        <v>1.5061387876275173E-16</v>
      </c>
      <c r="V278" s="28">
        <f t="shared" si="150"/>
        <v>1.0188768029649818E-16</v>
      </c>
      <c r="W278" s="28">
        <f t="shared" si="150"/>
        <v>1.3582582270629407E-16</v>
      </c>
      <c r="X278" s="28">
        <f t="shared" si="150"/>
        <v>1.299411987541237E-16</v>
      </c>
      <c r="Y278" s="28">
        <f t="shared" si="150"/>
        <v>1.5061387876275173E-16</v>
      </c>
      <c r="Z278" s="28">
        <f t="shared" si="150"/>
        <v>1.5061387876275173E-16</v>
      </c>
      <c r="AA278" s="28">
        <f t="shared" si="150"/>
        <v>1.5061387876275173E-16</v>
      </c>
      <c r="AB278" s="28">
        <f t="shared" si="150"/>
        <v>1.5061387876275173E-16</v>
      </c>
      <c r="AC278" s="28">
        <f t="shared" si="150"/>
        <v>1.5061387876275173E-16</v>
      </c>
      <c r="AD278" s="28">
        <f t="shared" si="150"/>
        <v>1.5061387876275173E-16</v>
      </c>
      <c r="AE278" s="28">
        <f t="shared" si="150"/>
        <v>1.5061387876275173E-16</v>
      </c>
      <c r="AF278" s="28">
        <f t="shared" si="150"/>
        <v>1.5061387876275173E-16</v>
      </c>
      <c r="AG278" s="28"/>
    </row>
    <row r="279" spans="1:33" x14ac:dyDescent="0.2">
      <c r="A279" s="38" t="s">
        <v>475</v>
      </c>
      <c r="B279" s="64"/>
      <c r="C279" s="28">
        <f>C218*C219/100</f>
        <v>7.8200611566945312E-17</v>
      </c>
      <c r="D279" s="28">
        <f t="shared" ref="D279:AF279" si="151">D218*D219/100</f>
        <v>7.8200611566945312E-17</v>
      </c>
      <c r="E279" s="28">
        <f t="shared" si="151"/>
        <v>7.8200611566945312E-17</v>
      </c>
      <c r="F279" s="28">
        <f t="shared" si="151"/>
        <v>7.8200611566945312E-17</v>
      </c>
      <c r="G279" s="28">
        <f t="shared" si="151"/>
        <v>7.8200611566945312E-17</v>
      </c>
      <c r="H279" s="28">
        <f t="shared" si="151"/>
        <v>7.8200611566945312E-17</v>
      </c>
      <c r="I279" s="28">
        <f t="shared" si="151"/>
        <v>7.8200611566945312E-17</v>
      </c>
      <c r="J279" s="28">
        <f t="shared" si="151"/>
        <v>7.8200611566945312E-17</v>
      </c>
      <c r="K279" s="28">
        <f t="shared" si="151"/>
        <v>7.8200611566945312E-17</v>
      </c>
      <c r="L279" s="28">
        <f t="shared" si="151"/>
        <v>7.8200611566945312E-17</v>
      </c>
      <c r="M279" s="28">
        <f t="shared" si="151"/>
        <v>7.8200611566945312E-17</v>
      </c>
      <c r="N279" s="28">
        <f t="shared" si="151"/>
        <v>7.8200611566945312E-17</v>
      </c>
      <c r="O279" s="28">
        <f t="shared" si="151"/>
        <v>7.8200611566945312E-17</v>
      </c>
      <c r="P279" s="28">
        <f t="shared" si="151"/>
        <v>7.8200611566945312E-17</v>
      </c>
      <c r="Q279" s="28">
        <f t="shared" si="151"/>
        <v>7.8200611566945312E-17</v>
      </c>
      <c r="R279" s="28">
        <f t="shared" si="151"/>
        <v>7.8200611566945312E-17</v>
      </c>
      <c r="S279" s="28">
        <f t="shared" si="151"/>
        <v>7.8200611566945312E-17</v>
      </c>
      <c r="T279" s="28">
        <f t="shared" si="151"/>
        <v>7.8200611566945312E-17</v>
      </c>
      <c r="U279" s="28">
        <f t="shared" si="151"/>
        <v>7.8200611566945312E-17</v>
      </c>
      <c r="V279" s="28">
        <f t="shared" si="151"/>
        <v>7.8200611566945312E-17</v>
      </c>
      <c r="W279" s="28">
        <f t="shared" si="151"/>
        <v>7.8200611566945312E-17</v>
      </c>
      <c r="X279" s="28">
        <f t="shared" si="151"/>
        <v>7.8200611566945312E-17</v>
      </c>
      <c r="Y279" s="28">
        <f t="shared" si="151"/>
        <v>7.8200611566945312E-17</v>
      </c>
      <c r="Z279" s="28">
        <f t="shared" si="151"/>
        <v>7.8200611566945312E-17</v>
      </c>
      <c r="AA279" s="28">
        <f t="shared" si="151"/>
        <v>7.8200611566945312E-17</v>
      </c>
      <c r="AB279" s="28">
        <f t="shared" si="151"/>
        <v>7.8200611566945312E-17</v>
      </c>
      <c r="AC279" s="28">
        <f t="shared" si="151"/>
        <v>7.8200611566945312E-17</v>
      </c>
      <c r="AD279" s="28">
        <f t="shared" si="151"/>
        <v>7.8200611566945312E-17</v>
      </c>
      <c r="AE279" s="28">
        <f t="shared" si="151"/>
        <v>7.8200611566945312E-17</v>
      </c>
      <c r="AF279" s="28">
        <f t="shared" si="151"/>
        <v>7.8200611566945312E-17</v>
      </c>
      <c r="AG279" s="28"/>
    </row>
    <row r="280" spans="1:33" x14ac:dyDescent="0.2">
      <c r="A280" s="38" t="s">
        <v>476</v>
      </c>
      <c r="B280" s="64"/>
      <c r="C280" s="28">
        <f>C223</f>
        <v>2.9999999999999997E-4</v>
      </c>
      <c r="D280" s="28">
        <f t="shared" ref="D280:AF280" si="152">D223</f>
        <v>2.9999999999999997E-4</v>
      </c>
      <c r="E280" s="28">
        <f t="shared" si="152"/>
        <v>2.9999999999999997E-4</v>
      </c>
      <c r="F280" s="28">
        <f t="shared" si="152"/>
        <v>2.9999999999999997E-4</v>
      </c>
      <c r="G280" s="28">
        <f t="shared" si="152"/>
        <v>2.9999999999999997E-4</v>
      </c>
      <c r="H280" s="28">
        <f t="shared" si="152"/>
        <v>2.9999999999999997E-4</v>
      </c>
      <c r="I280" s="28">
        <f t="shared" si="152"/>
        <v>2.9999999999999997E-4</v>
      </c>
      <c r="J280" s="28">
        <f t="shared" si="152"/>
        <v>2.9999999999999997E-4</v>
      </c>
      <c r="K280" s="28">
        <f t="shared" si="152"/>
        <v>2.9999999999999997E-4</v>
      </c>
      <c r="L280" s="28">
        <f t="shared" si="152"/>
        <v>2.9999999999999997E-4</v>
      </c>
      <c r="M280" s="28">
        <f t="shared" si="152"/>
        <v>2.9999999999999997E-4</v>
      </c>
      <c r="N280" s="28">
        <f t="shared" si="152"/>
        <v>2.9999999999999997E-4</v>
      </c>
      <c r="O280" s="28">
        <f t="shared" si="152"/>
        <v>2.9999999999999997E-4</v>
      </c>
      <c r="P280" s="28">
        <f t="shared" si="152"/>
        <v>2.9999999999999997E-4</v>
      </c>
      <c r="Q280" s="28">
        <f t="shared" si="152"/>
        <v>2.9999999999999997E-4</v>
      </c>
      <c r="R280" s="28">
        <f t="shared" si="152"/>
        <v>1.030848395744147E-4</v>
      </c>
      <c r="S280" s="28">
        <f t="shared" si="152"/>
        <v>9.8891075754841716E-5</v>
      </c>
      <c r="T280" s="28">
        <f t="shared" si="152"/>
        <v>9.5591285863055029E-5</v>
      </c>
      <c r="U280" s="28">
        <f t="shared" si="152"/>
        <v>1.0439869677914278E-4</v>
      </c>
      <c r="V280" s="28">
        <f t="shared" si="152"/>
        <v>1.1032784522394182E-4</v>
      </c>
      <c r="W280" s="28">
        <f t="shared" si="152"/>
        <v>9.3305274424537594E-5</v>
      </c>
      <c r="X280" s="28">
        <f t="shared" si="152"/>
        <v>9.7722470225810665E-5</v>
      </c>
      <c r="Y280" s="28">
        <f t="shared" si="152"/>
        <v>1.0945176541164699E-4</v>
      </c>
      <c r="Z280" s="28">
        <f t="shared" si="152"/>
        <v>1.0058767655137665E-4</v>
      </c>
      <c r="AA280" s="28">
        <f t="shared" si="152"/>
        <v>2.0000000000000001E-4</v>
      </c>
      <c r="AB280" s="28">
        <f t="shared" si="152"/>
        <v>2.0000000000000001E-4</v>
      </c>
      <c r="AC280" s="28">
        <f t="shared" si="152"/>
        <v>2.0000000000000001E-4</v>
      </c>
      <c r="AD280" s="28">
        <f t="shared" si="152"/>
        <v>2.0000000000000001E-4</v>
      </c>
      <c r="AE280" s="28">
        <f t="shared" si="152"/>
        <v>2.0000000000000001E-4</v>
      </c>
      <c r="AF280" s="28">
        <f t="shared" si="152"/>
        <v>2.0000000000000001E-4</v>
      </c>
      <c r="AG280" s="28"/>
    </row>
    <row r="281" spans="1:33" x14ac:dyDescent="0.2">
      <c r="A281" s="38" t="s">
        <v>477</v>
      </c>
      <c r="B281" s="64"/>
      <c r="C281" s="28">
        <f>C225</f>
        <v>5.1702200649465698E-5</v>
      </c>
      <c r="D281" s="28">
        <f t="shared" ref="D281:AF281" si="153">D225</f>
        <v>5.157286929420401E-5</v>
      </c>
      <c r="E281" s="28">
        <f t="shared" si="153"/>
        <v>5.1800721957556901E-5</v>
      </c>
      <c r="F281" s="28">
        <f t="shared" si="153"/>
        <v>5.1482011419401861E-5</v>
      </c>
      <c r="G281" s="28">
        <f t="shared" si="153"/>
        <v>5.3813733734415329E-5</v>
      </c>
      <c r="H281" s="28">
        <f t="shared" si="153"/>
        <v>5.6527007454429709E-5</v>
      </c>
      <c r="I281" s="28">
        <f t="shared" si="153"/>
        <v>5.108529329491295E-5</v>
      </c>
      <c r="J281" s="28">
        <f t="shared" si="153"/>
        <v>6.2506629095832123E-5</v>
      </c>
      <c r="K281" s="28">
        <f t="shared" si="153"/>
        <v>3.0026970546842408E-5</v>
      </c>
      <c r="L281" s="28">
        <f t="shared" si="153"/>
        <v>2.8679660212393701E-5</v>
      </c>
      <c r="M281" s="28">
        <f t="shared" si="153"/>
        <v>2.8040683294395677E-5</v>
      </c>
      <c r="N281" s="28">
        <f t="shared" si="153"/>
        <v>2.9327043883088185E-5</v>
      </c>
      <c r="O281" s="28">
        <f t="shared" si="153"/>
        <v>2.9643298938927571E-5</v>
      </c>
      <c r="P281" s="28">
        <f t="shared" si="153"/>
        <v>6.5422743316036338E-5</v>
      </c>
      <c r="Q281" s="28">
        <f t="shared" si="153"/>
        <v>2.8409541967819088E-5</v>
      </c>
      <c r="R281" s="28">
        <f t="shared" si="153"/>
        <v>3.1458640333718533E-5</v>
      </c>
      <c r="S281" s="28">
        <f t="shared" si="153"/>
        <v>2.920608888885594E-5</v>
      </c>
      <c r="T281" s="28">
        <f t="shared" si="153"/>
        <v>2.920246267889503E-5</v>
      </c>
      <c r="U281" s="28">
        <f t="shared" si="153"/>
        <v>3.0847467421599708E-5</v>
      </c>
      <c r="V281" s="28">
        <f t="shared" si="153"/>
        <v>2.9399970630823377E-5</v>
      </c>
      <c r="W281" s="28">
        <f t="shared" si="153"/>
        <v>2.8490386839343348E-5</v>
      </c>
      <c r="X281" s="28">
        <f t="shared" si="153"/>
        <v>2.9354100077299797E-5</v>
      </c>
      <c r="Y281" s="28">
        <f t="shared" si="153"/>
        <v>2.8850657398587031E-5</v>
      </c>
      <c r="Z281" s="28">
        <f t="shared" si="153"/>
        <v>3.0252001014990495E-5</v>
      </c>
      <c r="AA281" s="28">
        <f t="shared" si="153"/>
        <v>5.1609235099119351E-5</v>
      </c>
      <c r="AB281" s="28">
        <f t="shared" si="153"/>
        <v>5.2359320190275076E-5</v>
      </c>
      <c r="AC281" s="28">
        <f t="shared" si="153"/>
        <v>5.1975002537607693E-5</v>
      </c>
      <c r="AD281" s="28">
        <f t="shared" si="153"/>
        <v>5.1395645614585662E-5</v>
      </c>
      <c r="AE281" s="28">
        <f t="shared" si="153"/>
        <v>5.505293279724142E-5</v>
      </c>
      <c r="AF281" s="28">
        <f t="shared" si="153"/>
        <v>5.2133825194359483E-5</v>
      </c>
      <c r="AG281" s="28"/>
    </row>
    <row r="282" spans="1:33" x14ac:dyDescent="0.2">
      <c r="A282" s="38"/>
      <c r="B282" s="64"/>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c r="AB282" s="28"/>
      <c r="AC282" s="28"/>
      <c r="AD282" s="28"/>
      <c r="AE282" s="28"/>
      <c r="AF282" s="28"/>
      <c r="AG282" s="28"/>
    </row>
    <row r="283" spans="1:33" ht="18" x14ac:dyDescent="0.2">
      <c r="A283" s="1" t="s">
        <v>252</v>
      </c>
      <c r="B283" s="6"/>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40"/>
    </row>
    <row r="284" spans="1:33" x14ac:dyDescent="0.2">
      <c r="A284" s="41" t="s">
        <v>253</v>
      </c>
      <c r="B284" s="44"/>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40"/>
    </row>
    <row r="285" spans="1:33" x14ac:dyDescent="0.2">
      <c r="A285" s="198" t="s">
        <v>254</v>
      </c>
      <c r="B285" s="212"/>
      <c r="C285" s="79">
        <f>(1+C222)*C172</f>
        <v>1.0164429655729421E-13</v>
      </c>
      <c r="D285" s="79">
        <f t="shared" ref="D285:AF285" si="154">(1+D222)*D172</f>
        <v>8.8815404758800749E-14</v>
      </c>
      <c r="E285" s="79">
        <f t="shared" si="154"/>
        <v>8.2894377774880701E-14</v>
      </c>
      <c r="F285" s="79">
        <f t="shared" si="154"/>
        <v>9.4736431742720798E-14</v>
      </c>
      <c r="G285" s="79">
        <f t="shared" si="154"/>
        <v>1.2631524232362775E-13</v>
      </c>
      <c r="H285" s="79">
        <f t="shared" si="154"/>
        <v>1.0065745872664086E-13</v>
      </c>
      <c r="I285" s="79">
        <f t="shared" si="154"/>
        <v>7.5986512960307312E-14</v>
      </c>
      <c r="J285" s="79">
        <f t="shared" si="154"/>
        <v>8.4868053436187397E-14</v>
      </c>
      <c r="K285" s="79">
        <f t="shared" si="154"/>
        <v>1.3190398982492162E-13</v>
      </c>
      <c r="L285" s="79">
        <f t="shared" si="154"/>
        <v>9.59301744181248E-14</v>
      </c>
      <c r="M285" s="79">
        <f t="shared" si="154"/>
        <v>7.9941812015104011E-14</v>
      </c>
      <c r="N285" s="79">
        <f t="shared" si="154"/>
        <v>1.1691490007208962E-13</v>
      </c>
      <c r="O285" s="79">
        <f t="shared" si="154"/>
        <v>5.2961450460006409E-14</v>
      </c>
      <c r="P285" s="79">
        <f t="shared" si="154"/>
        <v>7.8942539364915209E-14</v>
      </c>
      <c r="Q285" s="79">
        <f t="shared" si="154"/>
        <v>9.4930901767936011E-14</v>
      </c>
      <c r="R285" s="79">
        <f t="shared" si="154"/>
        <v>5.2974187232235637E-14</v>
      </c>
      <c r="S285" s="79">
        <f t="shared" si="154"/>
        <v>5.4977886169510203E-14</v>
      </c>
      <c r="T285" s="79">
        <f t="shared" si="154"/>
        <v>7.8929275252624219E-14</v>
      </c>
      <c r="U285" s="79">
        <f t="shared" si="154"/>
        <v>7.1942125641899435E-14</v>
      </c>
      <c r="V285" s="79">
        <f t="shared" si="154"/>
        <v>7.0946986427301406E-14</v>
      </c>
      <c r="W285" s="79">
        <f t="shared" si="154"/>
        <v>1.0388604486002485E-13</v>
      </c>
      <c r="X285" s="79">
        <f t="shared" si="154"/>
        <v>4.9928767165315259E-14</v>
      </c>
      <c r="Y285" s="79">
        <f t="shared" si="154"/>
        <v>4.0963691119796866E-14</v>
      </c>
      <c r="Z285" s="79">
        <f t="shared" si="154"/>
        <v>8.3930005972159623E-14</v>
      </c>
      <c r="AA285" s="79">
        <f t="shared" si="154"/>
        <v>1.282120675947677E-13</v>
      </c>
      <c r="AB285" s="79">
        <f t="shared" si="154"/>
        <v>1.3511579431140904E-13</v>
      </c>
      <c r="AC285" s="79">
        <f t="shared" si="154"/>
        <v>1.3511579431140904E-13</v>
      </c>
      <c r="AD285" s="79">
        <f t="shared" si="154"/>
        <v>1.3314330096379722E-13</v>
      </c>
      <c r="AE285" s="79">
        <f t="shared" si="154"/>
        <v>8.8762200642531486E-14</v>
      </c>
      <c r="AF285" s="79">
        <f t="shared" si="154"/>
        <v>1.5385448111372124E-13</v>
      </c>
      <c r="AG285" s="30"/>
    </row>
    <row r="286" spans="1:33" x14ac:dyDescent="0.2">
      <c r="A286" s="44" t="s">
        <v>479</v>
      </c>
      <c r="B286" s="64"/>
      <c r="C286" s="28">
        <f t="shared" ref="C286:AF286" si="155">C285*C248</f>
        <v>2.7759010481952743E-18</v>
      </c>
      <c r="D286" s="28">
        <f t="shared" si="155"/>
        <v>3.9141289870338834E-18</v>
      </c>
      <c r="E286" s="28">
        <f t="shared" si="155"/>
        <v>2.6900825760388424E-18</v>
      </c>
      <c r="F286" s="28">
        <f t="shared" si="155"/>
        <v>5.3221267508767257E-18</v>
      </c>
      <c r="G286" s="28">
        <f t="shared" si="155"/>
        <v>7.7442709365880247E-18</v>
      </c>
      <c r="H286" s="28">
        <f t="shared" si="155"/>
        <v>3.4992868063934438E-18</v>
      </c>
      <c r="I286" s="28">
        <f t="shared" si="155"/>
        <v>4.0356874494257337E-18</v>
      </c>
      <c r="J286" s="28">
        <f t="shared" si="155"/>
        <v>2.2486167703276706E-18</v>
      </c>
      <c r="K286" s="28">
        <f t="shared" si="155"/>
        <v>4.5856897586231735E-18</v>
      </c>
      <c r="L286" s="28">
        <f t="shared" si="155"/>
        <v>3.9747634834826947E-18</v>
      </c>
      <c r="M286" s="28">
        <f t="shared" si="155"/>
        <v>6.9071044866494183E-18</v>
      </c>
      <c r="N286" s="28">
        <f t="shared" si="155"/>
        <v>5.9708388195448725E-18</v>
      </c>
      <c r="O286" s="28">
        <f t="shared" si="155"/>
        <v>1.7962977768931682E-18</v>
      </c>
      <c r="P286" s="28">
        <f t="shared" si="155"/>
        <v>4.3510072825145078E-18</v>
      </c>
      <c r="Q286" s="28">
        <f t="shared" si="155"/>
        <v>2.9720443174398432E-18</v>
      </c>
      <c r="R286" s="28">
        <f t="shared" si="155"/>
        <v>1.6648089509579048E-18</v>
      </c>
      <c r="S286" s="28">
        <f t="shared" si="155"/>
        <v>2.3938854566420774E-18</v>
      </c>
      <c r="T286" s="28">
        <f t="shared" si="155"/>
        <v>1.7481129757308816E-18</v>
      </c>
      <c r="U286" s="28">
        <f t="shared" si="155"/>
        <v>1.3467587770211553E-18</v>
      </c>
      <c r="V286" s="28">
        <f t="shared" si="155"/>
        <v>1.0650393183802249E-18</v>
      </c>
      <c r="W286" s="28">
        <f t="shared" si="155"/>
        <v>6.0821909671356701E-19</v>
      </c>
      <c r="X286" s="28">
        <f t="shared" si="155"/>
        <v>1.5093693317450729E-18</v>
      </c>
      <c r="Y286" s="28">
        <f t="shared" si="155"/>
        <v>1.6963021513052282E-18</v>
      </c>
      <c r="Z286" s="28">
        <f t="shared" si="155"/>
        <v>1.6214629628747467E-18</v>
      </c>
      <c r="AA286" s="28">
        <f t="shared" si="155"/>
        <v>7.6111935933795031E-16</v>
      </c>
      <c r="AB286" s="28">
        <f t="shared" si="155"/>
        <v>1.5153732653564074E-15</v>
      </c>
      <c r="AC286" s="28">
        <f t="shared" si="155"/>
        <v>2.7967033194513797E-16</v>
      </c>
      <c r="AD286" s="28">
        <f t="shared" si="155"/>
        <v>8.4303614016433293E-16</v>
      </c>
      <c r="AE286" s="28">
        <f t="shared" si="155"/>
        <v>1.1395073872856264E-15</v>
      </c>
      <c r="AF286" s="28">
        <f t="shared" si="155"/>
        <v>8.1913594103037508E-16</v>
      </c>
      <c r="AG286" s="28"/>
    </row>
    <row r="287" spans="1:33" x14ac:dyDescent="0.2">
      <c r="A287" s="198" t="s">
        <v>255</v>
      </c>
      <c r="B287" s="212"/>
      <c r="C287" s="79">
        <f>-C172</f>
        <v>-1.0148192547653175E-13</v>
      </c>
      <c r="D287" s="79">
        <f t="shared" ref="D287:AF287" si="156">-D172</f>
        <v>-8.8673527115416085E-14</v>
      </c>
      <c r="E287" s="79">
        <f t="shared" si="156"/>
        <v>-8.276195864105501E-14</v>
      </c>
      <c r="F287" s="79">
        <f t="shared" si="156"/>
        <v>-9.4585095589777149E-14</v>
      </c>
      <c r="G287" s="79">
        <f t="shared" si="156"/>
        <v>-1.2611346078636956E-13</v>
      </c>
      <c r="H287" s="79">
        <f t="shared" si="156"/>
        <v>-1.0049666406413824E-13</v>
      </c>
      <c r="I287" s="79">
        <f t="shared" si="156"/>
        <v>-7.5865128754300432E-14</v>
      </c>
      <c r="J287" s="79">
        <f t="shared" si="156"/>
        <v>-8.4732481465842039E-14</v>
      </c>
      <c r="K287" s="79">
        <f t="shared" si="156"/>
        <v>-1.3169328057600001E-13</v>
      </c>
      <c r="L287" s="79">
        <f t="shared" si="156"/>
        <v>-9.5776931327999996E-14</v>
      </c>
      <c r="M287" s="79">
        <f t="shared" si="156"/>
        <v>-7.9814109440000008E-14</v>
      </c>
      <c r="N287" s="79">
        <f t="shared" si="156"/>
        <v>-1.1672813505600002E-13</v>
      </c>
      <c r="O287" s="79">
        <f t="shared" si="156"/>
        <v>-5.2876847504000005E-14</v>
      </c>
      <c r="P287" s="79">
        <f t="shared" si="156"/>
        <v>-7.8816433072000007E-14</v>
      </c>
      <c r="Q287" s="79">
        <f t="shared" si="156"/>
        <v>-9.4779254960000009E-14</v>
      </c>
      <c r="R287" s="79">
        <f t="shared" si="156"/>
        <v>-5.2876847504000005E-14</v>
      </c>
      <c r="S287" s="79">
        <f t="shared" si="156"/>
        <v>-5.4872200239999999E-14</v>
      </c>
      <c r="T287" s="79">
        <f t="shared" si="156"/>
        <v>-7.8816433072000007E-14</v>
      </c>
      <c r="U287" s="79">
        <f t="shared" si="156"/>
        <v>-7.1832698496000007E-14</v>
      </c>
      <c r="V287" s="79">
        <f t="shared" si="156"/>
        <v>-7.0835022128000007E-14</v>
      </c>
      <c r="W287" s="79">
        <f t="shared" si="156"/>
        <v>-1.03758342272E-13</v>
      </c>
      <c r="X287" s="79">
        <f t="shared" si="156"/>
        <v>-4.9883818400000005E-14</v>
      </c>
      <c r="Y287" s="79">
        <f t="shared" si="156"/>
        <v>-4.0904731088000004E-14</v>
      </c>
      <c r="Z287" s="79">
        <f t="shared" si="156"/>
        <v>-8.3804814911999995E-14</v>
      </c>
      <c r="AA287" s="79">
        <f t="shared" si="156"/>
        <v>-1.2808398361115656E-13</v>
      </c>
      <c r="AB287" s="79">
        <f t="shared" si="156"/>
        <v>-1.3498081349791115E-13</v>
      </c>
      <c r="AC287" s="79">
        <f t="shared" si="156"/>
        <v>-1.3498081349791115E-13</v>
      </c>
      <c r="AD287" s="79">
        <f t="shared" si="156"/>
        <v>-1.3301029067312412E-13</v>
      </c>
      <c r="AE287" s="79">
        <f t="shared" si="156"/>
        <v>-8.8673527115416085E-14</v>
      </c>
      <c r="AF287" s="79">
        <f t="shared" si="156"/>
        <v>-1.5370078033338787E-13</v>
      </c>
      <c r="AG287" s="30"/>
    </row>
    <row r="288" spans="1:33" x14ac:dyDescent="0.2">
      <c r="A288" s="44" t="s">
        <v>479</v>
      </c>
      <c r="B288" s="64"/>
      <c r="C288" s="28">
        <f t="shared" ref="C288:AF288" si="157">C287*C260</f>
        <v>-1.0103182409890138E-19</v>
      </c>
      <c r="D288" s="28">
        <f t="shared" si="157"/>
        <v>-8.8280234649525475E-20</v>
      </c>
      <c r="E288" s="28">
        <f t="shared" si="157"/>
        <v>-8.2394885672890441E-20</v>
      </c>
      <c r="F288" s="28">
        <f t="shared" si="157"/>
        <v>-9.4165583626160497E-20</v>
      </c>
      <c r="G288" s="28">
        <f t="shared" si="157"/>
        <v>-1.2555411150154735E-19</v>
      </c>
      <c r="H288" s="28">
        <f t="shared" si="157"/>
        <v>-1.0005093260279554E-19</v>
      </c>
      <c r="I288" s="28">
        <f t="shared" si="157"/>
        <v>-7.552864520014958E-20</v>
      </c>
      <c r="J288" s="28">
        <f t="shared" si="157"/>
        <v>-8.4356668665102119E-20</v>
      </c>
      <c r="K288" s="28">
        <f t="shared" si="157"/>
        <v>-4.1628950476424782E-20</v>
      </c>
      <c r="L288" s="28">
        <f t="shared" si="157"/>
        <v>-3.0275600346490747E-20</v>
      </c>
      <c r="M288" s="28">
        <f t="shared" si="157"/>
        <v>-2.522966695540896E-20</v>
      </c>
      <c r="N288" s="28">
        <f t="shared" si="157"/>
        <v>-3.6898387922285604E-20</v>
      </c>
      <c r="O288" s="28">
        <f t="shared" si="157"/>
        <v>-1.6714654357958435E-20</v>
      </c>
      <c r="P288" s="28">
        <f t="shared" si="157"/>
        <v>-2.4914296118466347E-20</v>
      </c>
      <c r="Q288" s="28">
        <f t="shared" si="157"/>
        <v>-2.9960229509548141E-20</v>
      </c>
      <c r="R288" s="28">
        <f t="shared" si="157"/>
        <v>0</v>
      </c>
      <c r="S288" s="28">
        <f t="shared" si="157"/>
        <v>0</v>
      </c>
      <c r="T288" s="28">
        <f t="shared" si="157"/>
        <v>0</v>
      </c>
      <c r="U288" s="28">
        <f t="shared" si="157"/>
        <v>0</v>
      </c>
      <c r="V288" s="28">
        <f t="shared" si="157"/>
        <v>0</v>
      </c>
      <c r="W288" s="28">
        <f t="shared" si="157"/>
        <v>0</v>
      </c>
      <c r="X288" s="28">
        <f t="shared" si="157"/>
        <v>0</v>
      </c>
      <c r="Y288" s="28">
        <f t="shared" si="157"/>
        <v>0</v>
      </c>
      <c r="Z288" s="28">
        <f t="shared" si="157"/>
        <v>0</v>
      </c>
      <c r="AA288" s="28">
        <f t="shared" si="157"/>
        <v>-1.27515894493759E-19</v>
      </c>
      <c r="AB288" s="28">
        <f t="shared" si="157"/>
        <v>-1.343821349664999E-19</v>
      </c>
      <c r="AC288" s="28">
        <f t="shared" si="157"/>
        <v>-1.343821349664999E-19</v>
      </c>
      <c r="AD288" s="28">
        <f t="shared" si="157"/>
        <v>-1.3242035197428819E-19</v>
      </c>
      <c r="AE288" s="28">
        <f t="shared" si="157"/>
        <v>-8.8280234649525475E-20</v>
      </c>
      <c r="AF288" s="28">
        <f t="shared" si="157"/>
        <v>-1.5301907339251081E-19</v>
      </c>
      <c r="AG288" s="28"/>
    </row>
    <row r="289" spans="1:33" x14ac:dyDescent="0.2">
      <c r="A289" s="198" t="s">
        <v>258</v>
      </c>
      <c r="B289" s="212"/>
      <c r="C289" s="79">
        <f>C12*C172</f>
        <v>2.4671084175856755E-14</v>
      </c>
      <c r="D289" s="79">
        <f t="shared" ref="D289:AF289" si="158">D12*D172</f>
        <v>6.5194045166691652E-15</v>
      </c>
      <c r="E289" s="79">
        <f t="shared" si="158"/>
        <v>1.0340991693077313E-14</v>
      </c>
      <c r="F289" s="79">
        <f t="shared" si="158"/>
        <v>2.796713009704656E-14</v>
      </c>
      <c r="G289" s="79">
        <f t="shared" si="158"/>
        <v>2.7233872700683852E-14</v>
      </c>
      <c r="H289" s="79">
        <f t="shared" si="158"/>
        <v>1.318057364753377E-14</v>
      </c>
      <c r="I289" s="79">
        <f t="shared" si="158"/>
        <v>1.2204669824372761E-14</v>
      </c>
      <c r="J289" s="79">
        <f t="shared" si="158"/>
        <v>1.1607261995758337E-14</v>
      </c>
      <c r="K289" s="79">
        <f t="shared" si="158"/>
        <v>7.2950497173874056E-14</v>
      </c>
      <c r="L289" s="79">
        <f t="shared" si="158"/>
        <v>5.1985548019574505E-14</v>
      </c>
      <c r="M289" s="79">
        <f t="shared" si="158"/>
        <v>4.8047001227721776E-14</v>
      </c>
      <c r="N289" s="79">
        <f t="shared" si="158"/>
        <v>7.4828365536131119E-14</v>
      </c>
      <c r="O289" s="79">
        <f t="shared" si="158"/>
        <v>1.9765195862314714E-14</v>
      </c>
      <c r="P289" s="79">
        <f t="shared" si="158"/>
        <v>4.0476038122710401E-14</v>
      </c>
      <c r="Q289" s="79">
        <f t="shared" si="158"/>
        <v>8.0971990334633984E-15</v>
      </c>
      <c r="R289" s="79">
        <f t="shared" si="158"/>
        <v>8.2762572041338542E-15</v>
      </c>
      <c r="S289" s="79">
        <f t="shared" si="158"/>
        <v>8.0387905044880582E-15</v>
      </c>
      <c r="T289" s="79">
        <f t="shared" si="158"/>
        <v>7.3364489956533469E-15</v>
      </c>
      <c r="U289" s="79">
        <f t="shared" si="158"/>
        <v>4.5145978237449279E-15</v>
      </c>
      <c r="V289" s="79">
        <f t="shared" si="158"/>
        <v>2.3676225762215175E-15</v>
      </c>
      <c r="W289" s="79">
        <f t="shared" si="158"/>
        <v>2.2678119505444968E-15</v>
      </c>
      <c r="X289" s="79">
        <f t="shared" si="158"/>
        <v>7.5680421979320077E-15</v>
      </c>
      <c r="Y289" s="79">
        <f t="shared" si="158"/>
        <v>5.3079770687010463E-15</v>
      </c>
      <c r="Z289" s="79">
        <f t="shared" si="158"/>
        <v>4.7565097123507539E-15</v>
      </c>
      <c r="AA289" s="79">
        <f t="shared" si="158"/>
        <v>5.3907470843809626E-12</v>
      </c>
      <c r="AB289" s="79">
        <f t="shared" si="158"/>
        <v>6.6352938281498164E-12</v>
      </c>
      <c r="AC289" s="79">
        <f t="shared" si="158"/>
        <v>3.0990066796311603E-12</v>
      </c>
      <c r="AD289" s="79">
        <f t="shared" si="158"/>
        <v>7.5993898627643823E-12</v>
      </c>
      <c r="AE289" s="79">
        <f t="shared" si="158"/>
        <v>6.8368696654861118E-12</v>
      </c>
      <c r="AF289" s="79">
        <f t="shared" si="158"/>
        <v>6.9732491659376705E-12</v>
      </c>
      <c r="AG289" s="30"/>
    </row>
    <row r="290" spans="1:33" x14ac:dyDescent="0.2">
      <c r="A290" s="44" t="s">
        <v>479</v>
      </c>
      <c r="B290" s="64"/>
      <c r="C290" s="28">
        <f t="shared" ref="C290:AF290" si="159">C289*C280</f>
        <v>7.4013252527570254E-18</v>
      </c>
      <c r="D290" s="28">
        <f t="shared" si="159"/>
        <v>1.9558213550007492E-18</v>
      </c>
      <c r="E290" s="28">
        <f t="shared" si="159"/>
        <v>3.1022975079231935E-18</v>
      </c>
      <c r="F290" s="28">
        <f t="shared" si="159"/>
        <v>8.3901390291139679E-18</v>
      </c>
      <c r="G290" s="28">
        <f t="shared" si="159"/>
        <v>8.1701618102051552E-18</v>
      </c>
      <c r="H290" s="28">
        <f t="shared" si="159"/>
        <v>3.9541720942601305E-18</v>
      </c>
      <c r="I290" s="28">
        <f t="shared" si="159"/>
        <v>3.6614009473118283E-18</v>
      </c>
      <c r="J290" s="28">
        <f t="shared" si="159"/>
        <v>3.4821785987275011E-18</v>
      </c>
      <c r="K290" s="28">
        <f t="shared" si="159"/>
        <v>2.1885149152162215E-17</v>
      </c>
      <c r="L290" s="28">
        <f t="shared" si="159"/>
        <v>1.559566440587235E-17</v>
      </c>
      <c r="M290" s="28">
        <f t="shared" si="159"/>
        <v>1.4414100368316532E-17</v>
      </c>
      <c r="N290" s="28">
        <f t="shared" si="159"/>
        <v>2.2448509660839333E-17</v>
      </c>
      <c r="O290" s="28">
        <f t="shared" si="159"/>
        <v>5.9295587586944136E-18</v>
      </c>
      <c r="P290" s="28">
        <f t="shared" si="159"/>
        <v>1.2142811436813119E-17</v>
      </c>
      <c r="Q290" s="28">
        <f t="shared" si="159"/>
        <v>2.4291597100390192E-18</v>
      </c>
      <c r="R290" s="28">
        <f t="shared" si="159"/>
        <v>8.531566461647323E-19</v>
      </c>
      <c r="S290" s="28">
        <f t="shared" si="159"/>
        <v>7.9496464075663082E-19</v>
      </c>
      <c r="T290" s="28">
        <f t="shared" si="159"/>
        <v>7.0130059316322204E-19</v>
      </c>
      <c r="U290" s="28">
        <f t="shared" si="159"/>
        <v>4.7131812928092459E-19</v>
      </c>
      <c r="V290" s="28">
        <f t="shared" si="159"/>
        <v>2.6121469713807798E-19</v>
      </c>
      <c r="W290" s="28">
        <f t="shared" si="159"/>
        <v>2.1159881638880014E-19</v>
      </c>
      <c r="X290" s="28">
        <f t="shared" si="159"/>
        <v>7.3956777835508933E-19</v>
      </c>
      <c r="Y290" s="28">
        <f t="shared" si="159"/>
        <v>5.8096746093386858E-19</v>
      </c>
      <c r="Z290" s="28">
        <f t="shared" si="159"/>
        <v>4.7844626045941925E-19</v>
      </c>
      <c r="AA290" s="28">
        <f t="shared" si="159"/>
        <v>1.0781494168761925E-15</v>
      </c>
      <c r="AB290" s="28">
        <f t="shared" si="159"/>
        <v>1.3270587656299634E-15</v>
      </c>
      <c r="AC290" s="28">
        <f t="shared" si="159"/>
        <v>6.1980133592623205E-16</v>
      </c>
      <c r="AD290" s="28">
        <f t="shared" si="159"/>
        <v>1.5198779725528765E-15</v>
      </c>
      <c r="AE290" s="28">
        <f t="shared" si="159"/>
        <v>1.3673739330972224E-15</v>
      </c>
      <c r="AF290" s="28">
        <f t="shared" si="159"/>
        <v>1.3946498331875342E-15</v>
      </c>
      <c r="AG290" s="28"/>
    </row>
    <row r="291" spans="1:33" x14ac:dyDescent="0.2">
      <c r="A291" s="198" t="s">
        <v>259</v>
      </c>
      <c r="B291" s="212"/>
      <c r="C291" s="79">
        <f t="shared" ref="C291:AF291" si="160">-1</f>
        <v>-1</v>
      </c>
      <c r="D291" s="79">
        <f t="shared" si="160"/>
        <v>-1</v>
      </c>
      <c r="E291" s="79">
        <f t="shared" si="160"/>
        <v>-1</v>
      </c>
      <c r="F291" s="79">
        <f t="shared" si="160"/>
        <v>-1</v>
      </c>
      <c r="G291" s="79">
        <f t="shared" si="160"/>
        <v>-1</v>
      </c>
      <c r="H291" s="79">
        <f t="shared" si="160"/>
        <v>-1</v>
      </c>
      <c r="I291" s="79">
        <f t="shared" si="160"/>
        <v>-1</v>
      </c>
      <c r="J291" s="79">
        <f t="shared" si="160"/>
        <v>-1</v>
      </c>
      <c r="K291" s="79">
        <f t="shared" si="160"/>
        <v>-1</v>
      </c>
      <c r="L291" s="79">
        <f t="shared" si="160"/>
        <v>-1</v>
      </c>
      <c r="M291" s="79">
        <f t="shared" si="160"/>
        <v>-1</v>
      </c>
      <c r="N291" s="79">
        <f t="shared" si="160"/>
        <v>-1</v>
      </c>
      <c r="O291" s="79">
        <f t="shared" si="160"/>
        <v>-1</v>
      </c>
      <c r="P291" s="79">
        <f t="shared" si="160"/>
        <v>-1</v>
      </c>
      <c r="Q291" s="79">
        <f t="shared" si="160"/>
        <v>-1</v>
      </c>
      <c r="R291" s="79">
        <f t="shared" si="160"/>
        <v>-1</v>
      </c>
      <c r="S291" s="79">
        <f t="shared" si="160"/>
        <v>-1</v>
      </c>
      <c r="T291" s="79">
        <f t="shared" si="160"/>
        <v>-1</v>
      </c>
      <c r="U291" s="79">
        <f t="shared" si="160"/>
        <v>-1</v>
      </c>
      <c r="V291" s="79">
        <f t="shared" si="160"/>
        <v>-1</v>
      </c>
      <c r="W291" s="79">
        <f t="shared" si="160"/>
        <v>-1</v>
      </c>
      <c r="X291" s="79">
        <f t="shared" si="160"/>
        <v>-1</v>
      </c>
      <c r="Y291" s="79">
        <f t="shared" si="160"/>
        <v>-1</v>
      </c>
      <c r="Z291" s="79">
        <f t="shared" si="160"/>
        <v>-1</v>
      </c>
      <c r="AA291" s="79">
        <f t="shared" si="160"/>
        <v>-1</v>
      </c>
      <c r="AB291" s="79">
        <f t="shared" si="160"/>
        <v>-1</v>
      </c>
      <c r="AC291" s="79">
        <f t="shared" si="160"/>
        <v>-1</v>
      </c>
      <c r="AD291" s="79">
        <f t="shared" si="160"/>
        <v>-1</v>
      </c>
      <c r="AE291" s="79">
        <f t="shared" si="160"/>
        <v>-1</v>
      </c>
      <c r="AF291" s="79">
        <f t="shared" si="160"/>
        <v>-1</v>
      </c>
      <c r="AG291" s="30"/>
    </row>
    <row r="292" spans="1:33" x14ac:dyDescent="0.2">
      <c r="A292" s="44" t="s">
        <v>479</v>
      </c>
      <c r="B292" s="64"/>
      <c r="C292" s="28">
        <f t="shared" ref="C292:AF292" si="161">C291*C278</f>
        <v>-1.5061387876275173E-16</v>
      </c>
      <c r="D292" s="28">
        <f t="shared" si="161"/>
        <v>-1.5061387876275173E-16</v>
      </c>
      <c r="E292" s="28">
        <f t="shared" si="161"/>
        <v>-1.5061387876275173E-16</v>
      </c>
      <c r="F292" s="28">
        <f t="shared" si="161"/>
        <v>-1.5061387876275173E-16</v>
      </c>
      <c r="G292" s="28">
        <f t="shared" si="161"/>
        <v>-1.5061387876275173E-16</v>
      </c>
      <c r="H292" s="28">
        <f t="shared" si="161"/>
        <v>-1.5061387876275173E-16</v>
      </c>
      <c r="I292" s="28">
        <f t="shared" si="161"/>
        <v>-1.5061387876275173E-16</v>
      </c>
      <c r="J292" s="28">
        <f t="shared" si="161"/>
        <v>-1.5061387876275173E-16</v>
      </c>
      <c r="K292" s="28">
        <f t="shared" si="161"/>
        <v>-1.0097139018460159E-16</v>
      </c>
      <c r="L292" s="28">
        <f t="shared" si="161"/>
        <v>-1.2258077750219231E-16</v>
      </c>
      <c r="M292" s="28">
        <f t="shared" si="161"/>
        <v>-1.2018727061362769E-16</v>
      </c>
      <c r="N292" s="28">
        <f t="shared" si="161"/>
        <v>-1.4117890130235094E-16</v>
      </c>
      <c r="O292" s="28">
        <f t="shared" si="161"/>
        <v>-1.031542841217847E-16</v>
      </c>
      <c r="P292" s="28">
        <f t="shared" si="161"/>
        <v>-9.7103646701508323E-17</v>
      </c>
      <c r="Q292" s="28">
        <f t="shared" si="161"/>
        <v>-7.5305720690306261E-17</v>
      </c>
      <c r="R292" s="28">
        <f t="shared" si="161"/>
        <v>-1.4532970766918307E-16</v>
      </c>
      <c r="S292" s="28">
        <f t="shared" si="161"/>
        <v>-1.5061387876275173E-16</v>
      </c>
      <c r="T292" s="28">
        <f t="shared" si="161"/>
        <v>-1.5061387876275173E-16</v>
      </c>
      <c r="U292" s="28">
        <f t="shared" si="161"/>
        <v>-1.5061387876275173E-16</v>
      </c>
      <c r="V292" s="28">
        <f t="shared" si="161"/>
        <v>-1.0188768029649818E-16</v>
      </c>
      <c r="W292" s="28">
        <f t="shared" si="161"/>
        <v>-1.3582582270629407E-16</v>
      </c>
      <c r="X292" s="28">
        <f t="shared" si="161"/>
        <v>-1.299411987541237E-16</v>
      </c>
      <c r="Y292" s="28">
        <f t="shared" si="161"/>
        <v>-1.5061387876275173E-16</v>
      </c>
      <c r="Z292" s="28">
        <f t="shared" si="161"/>
        <v>-1.5061387876275173E-16</v>
      </c>
      <c r="AA292" s="28">
        <f t="shared" si="161"/>
        <v>-1.5061387876275173E-16</v>
      </c>
      <c r="AB292" s="28">
        <f t="shared" si="161"/>
        <v>-1.5061387876275173E-16</v>
      </c>
      <c r="AC292" s="28">
        <f t="shared" si="161"/>
        <v>-1.5061387876275173E-16</v>
      </c>
      <c r="AD292" s="28">
        <f t="shared" si="161"/>
        <v>-1.5061387876275173E-16</v>
      </c>
      <c r="AE292" s="28">
        <f t="shared" si="161"/>
        <v>-1.5061387876275173E-16</v>
      </c>
      <c r="AF292" s="28">
        <f t="shared" si="161"/>
        <v>-1.5061387876275173E-16</v>
      </c>
      <c r="AG292" s="28"/>
    </row>
    <row r="293" spans="1:33" x14ac:dyDescent="0.2">
      <c r="A293" s="41" t="s">
        <v>260</v>
      </c>
      <c r="B293" s="44"/>
      <c r="C293" s="81"/>
      <c r="D293" s="81"/>
      <c r="E293" s="81"/>
      <c r="F293" s="81"/>
      <c r="G293" s="81"/>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40"/>
    </row>
    <row r="294" spans="1:33" x14ac:dyDescent="0.2">
      <c r="A294" s="198" t="s">
        <v>261</v>
      </c>
      <c r="B294" s="212"/>
      <c r="C294" s="79">
        <f>C16*(1+2*C222)*C172</f>
        <v>3.0023920430749769E-14</v>
      </c>
      <c r="D294" s="79">
        <f t="shared" ref="D294:AF294" si="162">D16*(1+2*D222)*D172</f>
        <v>6.335180633452344E-14</v>
      </c>
      <c r="E294" s="79">
        <f t="shared" si="162"/>
        <v>5.6474425314133781E-14</v>
      </c>
      <c r="F294" s="79">
        <f t="shared" si="162"/>
        <v>7.16817860415414E-14</v>
      </c>
      <c r="G294" s="79">
        <f t="shared" si="162"/>
        <v>8.8865071005849525E-14</v>
      </c>
      <c r="H294" s="79">
        <f t="shared" si="162"/>
        <v>7.2093267642950867E-14</v>
      </c>
      <c r="I294" s="79">
        <f t="shared" si="162"/>
        <v>4.7872593592729033E-14</v>
      </c>
      <c r="J294" s="79">
        <f t="shared" si="162"/>
        <v>5.5856964305132363E-14</v>
      </c>
      <c r="K294" s="79">
        <f t="shared" si="162"/>
        <v>6.8862271689159548E-15</v>
      </c>
      <c r="L294" s="79">
        <f t="shared" si="162"/>
        <v>5.3137816668803019E-15</v>
      </c>
      <c r="M294" s="79">
        <f t="shared" si="162"/>
        <v>4.4593586387667045E-15</v>
      </c>
      <c r="N294" s="79">
        <f t="shared" si="162"/>
        <v>6.2801596268479405E-15</v>
      </c>
      <c r="O294" s="79">
        <f t="shared" si="162"/>
        <v>3.4360990201312611E-15</v>
      </c>
      <c r="P294" s="79">
        <f t="shared" si="162"/>
        <v>4.3678181061690433E-15</v>
      </c>
      <c r="Q294" s="79">
        <f t="shared" si="162"/>
        <v>7.6324963667443047E-15</v>
      </c>
      <c r="R294" s="79">
        <f t="shared" si="162"/>
        <v>5.6456919264951069E-15</v>
      </c>
      <c r="S294" s="79">
        <f t="shared" si="162"/>
        <v>6.170044989572414E-15</v>
      </c>
      <c r="T294" s="79">
        <f t="shared" si="162"/>
        <v>1.0498078292614118E-14</v>
      </c>
      <c r="U294" s="79">
        <f t="shared" si="162"/>
        <v>1.3979904797793889E-14</v>
      </c>
      <c r="V294" s="79">
        <f t="shared" si="162"/>
        <v>1.4421618054062868E-14</v>
      </c>
      <c r="W294" s="79">
        <f t="shared" si="162"/>
        <v>2.7869845583427589E-14</v>
      </c>
      <c r="X294" s="79">
        <f t="shared" si="162"/>
        <v>5.3319572419528335E-15</v>
      </c>
      <c r="Y294" s="79">
        <f t="shared" si="162"/>
        <v>6.3678796395773596E-15</v>
      </c>
      <c r="Z294" s="79">
        <f t="shared" si="162"/>
        <v>1.3618415883965775E-14</v>
      </c>
      <c r="AA294" s="79">
        <f t="shared" si="162"/>
        <v>2.2151619731870938E-14</v>
      </c>
      <c r="AB294" s="79">
        <f t="shared" si="162"/>
        <v>2.335566406229169E-14</v>
      </c>
      <c r="AC294" s="79">
        <f t="shared" si="162"/>
        <v>2.3371468172339368E-14</v>
      </c>
      <c r="AD294" s="79">
        <f t="shared" si="162"/>
        <v>2.3045262448066385E-14</v>
      </c>
      <c r="AE294" s="79">
        <f t="shared" si="162"/>
        <v>1.5343560909572351E-14</v>
      </c>
      <c r="AF294" s="79">
        <f t="shared" si="162"/>
        <v>2.6661657869892869E-14</v>
      </c>
      <c r="AG294" s="30"/>
    </row>
    <row r="295" spans="1:33" x14ac:dyDescent="0.2">
      <c r="A295" s="44" t="s">
        <v>479</v>
      </c>
      <c r="B295" s="64"/>
      <c r="C295" s="28">
        <f t="shared" ref="C295:AF295" si="163">C294*C248</f>
        <v>8.1995188138934382E-19</v>
      </c>
      <c r="D295" s="28">
        <f t="shared" si="163"/>
        <v>2.7919384281176048E-18</v>
      </c>
      <c r="E295" s="28">
        <f t="shared" si="163"/>
        <v>1.8327041182688563E-18</v>
      </c>
      <c r="F295" s="28">
        <f t="shared" si="163"/>
        <v>4.0269571486327633E-18</v>
      </c>
      <c r="G295" s="28">
        <f t="shared" si="163"/>
        <v>5.4482354940604194E-18</v>
      </c>
      <c r="H295" s="28">
        <f t="shared" si="163"/>
        <v>2.506272495691371E-18</v>
      </c>
      <c r="I295" s="28">
        <f t="shared" si="163"/>
        <v>2.5425410063830096E-18</v>
      </c>
      <c r="J295" s="28">
        <f t="shared" si="163"/>
        <v>1.4799550783918297E-18</v>
      </c>
      <c r="K295" s="28">
        <f t="shared" si="163"/>
        <v>2.39402170062973E-19</v>
      </c>
      <c r="L295" s="28">
        <f t="shared" si="163"/>
        <v>2.2017082171305922E-19</v>
      </c>
      <c r="M295" s="28">
        <f t="shared" si="163"/>
        <v>3.8529594570091602E-19</v>
      </c>
      <c r="N295" s="28">
        <f t="shared" si="163"/>
        <v>3.207274767356513E-19</v>
      </c>
      <c r="O295" s="28">
        <f t="shared" si="163"/>
        <v>1.1654244695785908E-19</v>
      </c>
      <c r="P295" s="28">
        <f t="shared" si="163"/>
        <v>2.407372316817876E-19</v>
      </c>
      <c r="Q295" s="28">
        <f t="shared" si="163"/>
        <v>2.389539868705269E-19</v>
      </c>
      <c r="R295" s="28">
        <f t="shared" si="163"/>
        <v>1.7742600584649255E-19</v>
      </c>
      <c r="S295" s="28">
        <f t="shared" si="163"/>
        <v>2.686604014171087E-19</v>
      </c>
      <c r="T295" s="28">
        <f t="shared" si="163"/>
        <v>2.3250976047632317E-19</v>
      </c>
      <c r="U295" s="28">
        <f t="shared" si="163"/>
        <v>2.6170424240820344E-19</v>
      </c>
      <c r="V295" s="28">
        <f t="shared" si="163"/>
        <v>2.1649390672820003E-19</v>
      </c>
      <c r="W295" s="28">
        <f t="shared" si="163"/>
        <v>1.6316890617155092E-19</v>
      </c>
      <c r="X295" s="28">
        <f t="shared" si="163"/>
        <v>1.6118749162247285E-19</v>
      </c>
      <c r="Y295" s="28">
        <f t="shared" si="163"/>
        <v>2.636932277484032E-19</v>
      </c>
      <c r="Z295" s="28">
        <f t="shared" si="163"/>
        <v>2.6309728818797398E-19</v>
      </c>
      <c r="AA295" s="28">
        <f t="shared" si="163"/>
        <v>1.3150108983428918E-16</v>
      </c>
      <c r="AB295" s="28">
        <f t="shared" si="163"/>
        <v>2.619423517066483E-16</v>
      </c>
      <c r="AC295" s="28">
        <f t="shared" si="163"/>
        <v>4.8375589953153682E-17</v>
      </c>
      <c r="AD295" s="28">
        <f t="shared" si="163"/>
        <v>1.4591788668792706E-16</v>
      </c>
      <c r="AE295" s="28">
        <f t="shared" si="163"/>
        <v>1.9697687616080734E-16</v>
      </c>
      <c r="AF295" s="28">
        <f t="shared" si="163"/>
        <v>1.4194921103755151E-16</v>
      </c>
      <c r="AG295" s="28"/>
    </row>
    <row r="296" spans="1:33" x14ac:dyDescent="0.2">
      <c r="A296" s="198" t="s">
        <v>262</v>
      </c>
      <c r="B296" s="212"/>
      <c r="C296" s="79">
        <f>C12*(1+2*C222)*C172</f>
        <v>2.4750031645219501E-14</v>
      </c>
      <c r="D296" s="79">
        <f t="shared" ref="D296:AF296" si="164">D12*(1+2*D222)*D172</f>
        <v>6.5402666111225079E-15</v>
      </c>
      <c r="E296" s="79">
        <f t="shared" si="164"/>
        <v>1.037408286649516E-14</v>
      </c>
      <c r="F296" s="79">
        <f t="shared" si="164"/>
        <v>2.8056624913357111E-14</v>
      </c>
      <c r="G296" s="79">
        <f t="shared" si="164"/>
        <v>2.7321021093326044E-14</v>
      </c>
      <c r="H296" s="79">
        <f t="shared" si="164"/>
        <v>1.3222751483205878E-14</v>
      </c>
      <c r="I296" s="79">
        <f t="shared" si="164"/>
        <v>1.2243724767810756E-14</v>
      </c>
      <c r="J296" s="79">
        <f t="shared" si="164"/>
        <v>1.1644405234144764E-14</v>
      </c>
      <c r="K296" s="79">
        <f t="shared" si="164"/>
        <v>7.3183938764830455E-14</v>
      </c>
      <c r="L296" s="79">
        <f t="shared" si="164"/>
        <v>5.2151901773237151E-14</v>
      </c>
      <c r="M296" s="79">
        <f t="shared" si="164"/>
        <v>4.8200751631650491E-14</v>
      </c>
      <c r="N296" s="79">
        <f t="shared" si="164"/>
        <v>7.5067816305846754E-14</v>
      </c>
      <c r="O296" s="79">
        <f t="shared" si="164"/>
        <v>1.9828444489074123E-14</v>
      </c>
      <c r="P296" s="79">
        <f t="shared" si="164"/>
        <v>4.0605561444703076E-14</v>
      </c>
      <c r="Q296" s="79">
        <f t="shared" si="164"/>
        <v>8.1231100703704818E-15</v>
      </c>
      <c r="R296" s="79">
        <f t="shared" si="164"/>
        <v>8.3067283333742155E-15</v>
      </c>
      <c r="S296" s="79">
        <f t="shared" si="164"/>
        <v>8.0697565325637903E-15</v>
      </c>
      <c r="T296" s="79">
        <f t="shared" si="164"/>
        <v>7.35745631279371E-15</v>
      </c>
      <c r="U296" s="79">
        <f t="shared" si="164"/>
        <v>4.5283525500765233E-15</v>
      </c>
      <c r="V296" s="79">
        <f t="shared" si="164"/>
        <v>2.3751072693801582E-15</v>
      </c>
      <c r="W296" s="79">
        <f t="shared" si="164"/>
        <v>2.2733942574491118E-15</v>
      </c>
      <c r="X296" s="79">
        <f t="shared" si="164"/>
        <v>7.5816808552586411E-15</v>
      </c>
      <c r="Y296" s="79">
        <f t="shared" si="164"/>
        <v>5.3232788926428491E-15</v>
      </c>
      <c r="Z296" s="79">
        <f t="shared" si="164"/>
        <v>4.770720649852951E-15</v>
      </c>
      <c r="AA296" s="79">
        <f t="shared" si="164"/>
        <v>5.4015285785497235E-12</v>
      </c>
      <c r="AB296" s="79">
        <f t="shared" si="164"/>
        <v>6.6485644158061155E-12</v>
      </c>
      <c r="AC296" s="79">
        <f t="shared" si="164"/>
        <v>3.1052046929904226E-12</v>
      </c>
      <c r="AD296" s="79">
        <f t="shared" si="164"/>
        <v>7.6145886424899103E-12</v>
      </c>
      <c r="AE296" s="79">
        <f t="shared" si="164"/>
        <v>6.8505434048170842E-12</v>
      </c>
      <c r="AF296" s="79">
        <f t="shared" si="164"/>
        <v>6.9871956642695456E-12</v>
      </c>
      <c r="AG296" s="30"/>
    </row>
    <row r="297" spans="1:33" x14ac:dyDescent="0.2">
      <c r="A297" s="44" t="s">
        <v>479</v>
      </c>
      <c r="B297" s="64"/>
      <c r="C297" s="28">
        <f t="shared" ref="C297:AF297" si="165">C296*C250</f>
        <v>1.4862079661999067E-18</v>
      </c>
      <c r="D297" s="28">
        <f t="shared" si="165"/>
        <v>4.4500652667978342E-18</v>
      </c>
      <c r="E297" s="28">
        <f t="shared" si="165"/>
        <v>2.780466546615336E-18</v>
      </c>
      <c r="F297" s="28">
        <f t="shared" si="165"/>
        <v>5.1111220883622935E-18</v>
      </c>
      <c r="G297" s="28">
        <f t="shared" si="165"/>
        <v>6.3345376102320185E-18</v>
      </c>
      <c r="H297" s="28">
        <f t="shared" si="165"/>
        <v>3.6564954455036579E-18</v>
      </c>
      <c r="I297" s="28">
        <f t="shared" si="165"/>
        <v>3.4786458775107354E-18</v>
      </c>
      <c r="J297" s="28">
        <f t="shared" si="165"/>
        <v>2.0628282202843543E-18</v>
      </c>
      <c r="K297" s="28">
        <f t="shared" si="165"/>
        <v>1.1031995215344599E-18</v>
      </c>
      <c r="L297" s="28">
        <f t="shared" si="165"/>
        <v>9.691646964697464E-19</v>
      </c>
      <c r="M297" s="28">
        <f t="shared" si="165"/>
        <v>6.9769108493291208E-19</v>
      </c>
      <c r="N297" s="28">
        <f t="shared" si="165"/>
        <v>1.3345219494196999E-18</v>
      </c>
      <c r="O297" s="28">
        <f t="shared" si="165"/>
        <v>5.7505217218268132E-19</v>
      </c>
      <c r="P297" s="28">
        <f t="shared" si="165"/>
        <v>6.8253086789285568E-19</v>
      </c>
      <c r="Q297" s="28">
        <f t="shared" si="165"/>
        <v>4.8613983126083052E-19</v>
      </c>
      <c r="R297" s="28">
        <f t="shared" si="165"/>
        <v>6.7274311571483485E-19</v>
      </c>
      <c r="S297" s="28">
        <f t="shared" si="165"/>
        <v>9.4157696009298774E-19</v>
      </c>
      <c r="T297" s="28">
        <f t="shared" si="165"/>
        <v>8.6198126937068273E-19</v>
      </c>
      <c r="U297" s="28">
        <f t="shared" si="165"/>
        <v>7.3545774461628266E-19</v>
      </c>
      <c r="V297" s="28">
        <f t="shared" si="165"/>
        <v>4.2915338056292046E-19</v>
      </c>
      <c r="W297" s="28">
        <f t="shared" si="165"/>
        <v>3.9600736782578034E-19</v>
      </c>
      <c r="X297" s="28">
        <f t="shared" si="165"/>
        <v>5.7549096901246147E-19</v>
      </c>
      <c r="Y297" s="28">
        <f t="shared" si="165"/>
        <v>5.9528447010141199E-19</v>
      </c>
      <c r="Z297" s="28">
        <f t="shared" si="165"/>
        <v>6.3757497155556727E-19</v>
      </c>
      <c r="AA297" s="28">
        <f t="shared" si="165"/>
        <v>1.7466716658423683E-17</v>
      </c>
      <c r="AB297" s="28">
        <f t="shared" si="165"/>
        <v>3.3148347665170952E-17</v>
      </c>
      <c r="AC297" s="28">
        <f t="shared" si="165"/>
        <v>1.199142177633878E-17</v>
      </c>
      <c r="AD297" s="28">
        <f t="shared" si="165"/>
        <v>2.4733382842368494E-17</v>
      </c>
      <c r="AE297" s="28">
        <f t="shared" si="165"/>
        <v>2.5976275398747325E-17</v>
      </c>
      <c r="AF297" s="28">
        <f t="shared" si="165"/>
        <v>2.064676429521553E-17</v>
      </c>
      <c r="AG297" s="28"/>
    </row>
    <row r="298" spans="1:33" x14ac:dyDescent="0.2">
      <c r="A298" s="198" t="s">
        <v>263</v>
      </c>
      <c r="B298" s="212"/>
      <c r="C298" s="79">
        <f>-C162*C172</f>
        <v>-9.0152272498271729E-14</v>
      </c>
      <c r="D298" s="79">
        <f t="shared" ref="D298:AF298" si="166">-D162*D172</f>
        <v>-7.8773830338295672E-14</v>
      </c>
      <c r="E298" s="79">
        <f t="shared" si="166"/>
        <v>-7.3522241649075957E-14</v>
      </c>
      <c r="F298" s="79">
        <f t="shared" si="166"/>
        <v>-8.4025419027515374E-14</v>
      </c>
      <c r="G298" s="79">
        <f t="shared" si="166"/>
        <v>-1.1203389203668719E-13</v>
      </c>
      <c r="H298" s="79">
        <f t="shared" si="166"/>
        <v>-8.9277007716735102E-14</v>
      </c>
      <c r="I298" s="79">
        <f t="shared" si="166"/>
        <v>-6.739538817831964E-14</v>
      </c>
      <c r="J298" s="79">
        <f t="shared" si="166"/>
        <v>-7.52727712121492E-14</v>
      </c>
      <c r="K298" s="79">
        <f t="shared" si="166"/>
        <v>-9.4240112162877881E-14</v>
      </c>
      <c r="L298" s="79">
        <f t="shared" si="166"/>
        <v>-6.85382633911839E-14</v>
      </c>
      <c r="M298" s="79">
        <f t="shared" si="166"/>
        <v>-5.7115219492653262E-14</v>
      </c>
      <c r="N298" s="79">
        <f t="shared" si="166"/>
        <v>-8.3531008508005401E-14</v>
      </c>
      <c r="O298" s="79">
        <f t="shared" si="166"/>
        <v>-3.7838832913882789E-14</v>
      </c>
      <c r="P298" s="79">
        <f t="shared" si="166"/>
        <v>-5.6401279248995098E-14</v>
      </c>
      <c r="Q298" s="79">
        <f t="shared" si="166"/>
        <v>-6.7824323147525755E-14</v>
      </c>
      <c r="R298" s="79">
        <f t="shared" si="166"/>
        <v>-4.6114534238757755E-14</v>
      </c>
      <c r="S298" s="79">
        <f t="shared" si="166"/>
        <v>-4.7854705342107099E-14</v>
      </c>
      <c r="T298" s="79">
        <f t="shared" si="166"/>
        <v>-6.8736758582299289E-14</v>
      </c>
      <c r="U298" s="79">
        <f t="shared" si="166"/>
        <v>-6.2646159720576569E-14</v>
      </c>
      <c r="V298" s="79">
        <f t="shared" si="166"/>
        <v>-6.1776074168901901E-14</v>
      </c>
      <c r="W298" s="79">
        <f t="shared" si="166"/>
        <v>-9.0488897374166147E-14</v>
      </c>
      <c r="X298" s="79">
        <f t="shared" si="166"/>
        <v>-4.350427758373373E-14</v>
      </c>
      <c r="Y298" s="79">
        <f t="shared" si="166"/>
        <v>-3.567350761866166E-14</v>
      </c>
      <c r="Z298" s="79">
        <f t="shared" si="166"/>
        <v>-7.3087186340672658E-14</v>
      </c>
      <c r="AA298" s="79">
        <f t="shared" si="166"/>
        <v>-1.1378442159976042E-13</v>
      </c>
      <c r="AB298" s="79">
        <f t="shared" si="166"/>
        <v>-1.1991127507051674E-13</v>
      </c>
      <c r="AC298" s="79">
        <f t="shared" si="166"/>
        <v>-1.1991127507051674E-13</v>
      </c>
      <c r="AD298" s="79">
        <f t="shared" si="166"/>
        <v>-1.1816074550744351E-13</v>
      </c>
      <c r="AE298" s="79">
        <f t="shared" si="166"/>
        <v>-7.8773830338295672E-14</v>
      </c>
      <c r="AF298" s="79">
        <f t="shared" si="166"/>
        <v>-1.3654130591971249E-13</v>
      </c>
      <c r="AG298" s="30"/>
    </row>
    <row r="299" spans="1:33" x14ac:dyDescent="0.2">
      <c r="A299" s="44" t="s">
        <v>479</v>
      </c>
      <c r="B299" s="64"/>
      <c r="C299" s="28">
        <f t="shared" ref="C299:AF299" si="167">C298*C260</f>
        <v>-8.9752421373478433E-20</v>
      </c>
      <c r="D299" s="28">
        <f t="shared" si="167"/>
        <v>-7.8424445860320948E-20</v>
      </c>
      <c r="E299" s="28">
        <f t="shared" si="167"/>
        <v>-7.3196149469632881E-20</v>
      </c>
      <c r="F299" s="28">
        <f t="shared" si="167"/>
        <v>-8.3652742251009002E-20</v>
      </c>
      <c r="G299" s="28">
        <f t="shared" si="167"/>
        <v>-1.1153698966801203E-19</v>
      </c>
      <c r="H299" s="28">
        <f t="shared" si="167"/>
        <v>-8.8881038641697081E-20</v>
      </c>
      <c r="I299" s="28">
        <f t="shared" si="167"/>
        <v>-6.7096470347163487E-20</v>
      </c>
      <c r="J299" s="28">
        <f t="shared" si="167"/>
        <v>-7.4938914933195574E-20</v>
      </c>
      <c r="K299" s="28">
        <f t="shared" si="167"/>
        <v>-2.9789803587261496E-20</v>
      </c>
      <c r="L299" s="28">
        <f t="shared" si="167"/>
        <v>-2.166531169982654E-20</v>
      </c>
      <c r="M299" s="28">
        <f t="shared" si="167"/>
        <v>-1.8054426416522121E-20</v>
      </c>
      <c r="N299" s="28">
        <f t="shared" si="167"/>
        <v>-2.6404598634163602E-20</v>
      </c>
      <c r="O299" s="28">
        <f t="shared" si="167"/>
        <v>-1.1961057500945905E-20</v>
      </c>
      <c r="P299" s="28">
        <f t="shared" si="167"/>
        <v>-1.7828746086315594E-20</v>
      </c>
      <c r="Q299" s="28">
        <f t="shared" si="167"/>
        <v>-2.1439631369620018E-20</v>
      </c>
      <c r="R299" s="28">
        <f t="shared" si="167"/>
        <v>0</v>
      </c>
      <c r="S299" s="28">
        <f t="shared" si="167"/>
        <v>0</v>
      </c>
      <c r="T299" s="28">
        <f t="shared" si="167"/>
        <v>0</v>
      </c>
      <c r="U299" s="28">
        <f t="shared" si="167"/>
        <v>0</v>
      </c>
      <c r="V299" s="28">
        <f t="shared" si="167"/>
        <v>0</v>
      </c>
      <c r="W299" s="28">
        <f t="shared" si="167"/>
        <v>0</v>
      </c>
      <c r="X299" s="28">
        <f t="shared" si="167"/>
        <v>0</v>
      </c>
      <c r="Y299" s="28">
        <f t="shared" si="167"/>
        <v>0</v>
      </c>
      <c r="Z299" s="28">
        <f t="shared" si="167"/>
        <v>0</v>
      </c>
      <c r="AA299" s="28">
        <f t="shared" si="167"/>
        <v>-1.1327975513157471E-19</v>
      </c>
      <c r="AB299" s="28">
        <f t="shared" si="167"/>
        <v>-1.1937943425404411E-19</v>
      </c>
      <c r="AC299" s="28">
        <f t="shared" si="167"/>
        <v>-1.1937943425404411E-19</v>
      </c>
      <c r="AD299" s="28">
        <f t="shared" si="167"/>
        <v>-1.1763666879048143E-19</v>
      </c>
      <c r="AE299" s="28">
        <f t="shared" si="167"/>
        <v>-7.8424445860320948E-20</v>
      </c>
      <c r="AF299" s="28">
        <f t="shared" si="167"/>
        <v>-1.3593570615788963E-19</v>
      </c>
      <c r="AG299" s="28"/>
    </row>
    <row r="300" spans="1:33" x14ac:dyDescent="0.2">
      <c r="A300" s="198" t="s">
        <v>264</v>
      </c>
      <c r="B300" s="212"/>
      <c r="C300" s="79">
        <f>-C154*C172</f>
        <v>-4.34358659066644E-16</v>
      </c>
      <c r="D300" s="79">
        <f t="shared" ref="D300:AF300" si="168">-D154*D172</f>
        <v>-3.7953669238832964E-16</v>
      </c>
      <c r="E300" s="79">
        <f t="shared" si="168"/>
        <v>-3.5423424622910767E-16</v>
      </c>
      <c r="F300" s="79">
        <f t="shared" si="168"/>
        <v>-4.0483913854755161E-16</v>
      </c>
      <c r="G300" s="79">
        <f t="shared" si="168"/>
        <v>-5.3978551806340225E-16</v>
      </c>
      <c r="H300" s="79">
        <f t="shared" si="168"/>
        <v>-4.3014158470677363E-16</v>
      </c>
      <c r="I300" s="79">
        <f t="shared" si="168"/>
        <v>-3.2471472571001538E-16</v>
      </c>
      <c r="J300" s="79">
        <f t="shared" si="168"/>
        <v>-3.6266839494884836E-16</v>
      </c>
      <c r="K300" s="79">
        <f t="shared" si="168"/>
        <v>-6.2970138811020576E-17</v>
      </c>
      <c r="L300" s="79">
        <f t="shared" si="168"/>
        <v>-4.5796464589833142E-17</v>
      </c>
      <c r="M300" s="79">
        <f t="shared" si="168"/>
        <v>-3.8163720491527621E-17</v>
      </c>
      <c r="N300" s="79">
        <f t="shared" si="168"/>
        <v>-5.5814441218859152E-17</v>
      </c>
      <c r="O300" s="79">
        <f t="shared" si="168"/>
        <v>-2.5283464825637051E-17</v>
      </c>
      <c r="P300" s="79">
        <f t="shared" si="168"/>
        <v>-3.7686673985383525E-17</v>
      </c>
      <c r="Q300" s="79">
        <f t="shared" si="168"/>
        <v>-4.5319418083689051E-17</v>
      </c>
      <c r="R300" s="79">
        <f t="shared" si="168"/>
        <v>-3.951100444004251E-17</v>
      </c>
      <c r="S300" s="79">
        <f t="shared" si="168"/>
        <v>-4.1001985739666751E-17</v>
      </c>
      <c r="T300" s="79">
        <f t="shared" si="168"/>
        <v>-5.8893761335157702E-17</v>
      </c>
      <c r="U300" s="79">
        <f t="shared" si="168"/>
        <v>-5.3675326786472841E-17</v>
      </c>
      <c r="V300" s="79">
        <f t="shared" si="168"/>
        <v>-5.292983613666072E-17</v>
      </c>
      <c r="W300" s="79">
        <f t="shared" si="168"/>
        <v>-7.7531027580460767E-17</v>
      </c>
      <c r="X300" s="79">
        <f t="shared" si="168"/>
        <v>-3.7274532490606143E-17</v>
      </c>
      <c r="Y300" s="79">
        <f t="shared" si="168"/>
        <v>-3.0565116642297035E-17</v>
      </c>
      <c r="Z300" s="79">
        <f t="shared" si="168"/>
        <v>-6.262121458421831E-17</v>
      </c>
      <c r="AA300" s="79">
        <f t="shared" si="168"/>
        <v>-5.4821966678314279E-16</v>
      </c>
      <c r="AB300" s="79">
        <f t="shared" si="168"/>
        <v>-5.7773918730223518E-16</v>
      </c>
      <c r="AC300" s="79">
        <f t="shared" si="168"/>
        <v>-5.7773918730223518E-16</v>
      </c>
      <c r="AD300" s="79">
        <f t="shared" si="168"/>
        <v>-5.6930503858249444E-16</v>
      </c>
      <c r="AE300" s="79">
        <f t="shared" si="168"/>
        <v>-3.7953669238832964E-16</v>
      </c>
      <c r="AF300" s="79">
        <f t="shared" si="168"/>
        <v>-6.5786360013977141E-16</v>
      </c>
      <c r="AG300" s="30"/>
    </row>
    <row r="301" spans="1:33" x14ac:dyDescent="0.2">
      <c r="A301" s="44" t="s">
        <v>479</v>
      </c>
      <c r="B301" s="64"/>
      <c r="C301" s="28">
        <f t="shared" ref="C301:AF301" si="169">C300*C265</f>
        <v>-9.4730092206315374E-20</v>
      </c>
      <c r="D301" s="28">
        <f t="shared" si="169"/>
        <v>-8.2773866976392069E-20</v>
      </c>
      <c r="E301" s="28">
        <f t="shared" si="169"/>
        <v>-7.7255609177965926E-20</v>
      </c>
      <c r="F301" s="28">
        <f t="shared" si="169"/>
        <v>-8.82921247748182E-20</v>
      </c>
      <c r="G301" s="28">
        <f t="shared" si="169"/>
        <v>-1.1772283303309096E-19</v>
      </c>
      <c r="H301" s="28">
        <f t="shared" si="169"/>
        <v>-9.3810382573244342E-20</v>
      </c>
      <c r="I301" s="28">
        <f t="shared" si="169"/>
        <v>-7.0817641746468776E-20</v>
      </c>
      <c r="J301" s="28">
        <f t="shared" si="169"/>
        <v>-7.9095028444107978E-20</v>
      </c>
      <c r="K301" s="28">
        <f t="shared" si="169"/>
        <v>-4.6436033915630177E-20</v>
      </c>
      <c r="L301" s="28">
        <f t="shared" si="169"/>
        <v>-3.3771661029549218E-20</v>
      </c>
      <c r="M301" s="28">
        <f t="shared" si="169"/>
        <v>-2.8143050857957683E-20</v>
      </c>
      <c r="N301" s="28">
        <f t="shared" si="169"/>
        <v>-4.1159211879763114E-20</v>
      </c>
      <c r="O301" s="28">
        <f t="shared" si="169"/>
        <v>-1.8644771193396967E-20</v>
      </c>
      <c r="P301" s="28">
        <f t="shared" si="169"/>
        <v>-2.7791262722233211E-20</v>
      </c>
      <c r="Q301" s="28">
        <f t="shared" si="169"/>
        <v>-3.3419872893824752E-20</v>
      </c>
      <c r="R301" s="28">
        <f t="shared" si="169"/>
        <v>-3.5509015644954648E-20</v>
      </c>
      <c r="S301" s="28">
        <f t="shared" si="169"/>
        <v>-3.6848978499481233E-20</v>
      </c>
      <c r="T301" s="28">
        <f t="shared" si="169"/>
        <v>-5.2928532753800319E-20</v>
      </c>
      <c r="U301" s="28">
        <f t="shared" si="169"/>
        <v>-4.8238662762957252E-20</v>
      </c>
      <c r="V301" s="28">
        <f t="shared" si="169"/>
        <v>-4.7568681335693959E-20</v>
      </c>
      <c r="W301" s="28">
        <f t="shared" si="169"/>
        <v>-6.9678068435382698E-20</v>
      </c>
      <c r="X301" s="28">
        <f t="shared" si="169"/>
        <v>-3.3499071363164763E-20</v>
      </c>
      <c r="Y301" s="28">
        <f t="shared" si="169"/>
        <v>-2.7469238517795105E-20</v>
      </c>
      <c r="Z301" s="28">
        <f t="shared" si="169"/>
        <v>-5.6278439890116795E-20</v>
      </c>
      <c r="AA301" s="28">
        <f t="shared" si="169"/>
        <v>-1.1956225229923298E-19</v>
      </c>
      <c r="AB301" s="28">
        <f t="shared" si="169"/>
        <v>-1.2600021973073014E-19</v>
      </c>
      <c r="AC301" s="28">
        <f t="shared" si="169"/>
        <v>-1.2600021973073014E-19</v>
      </c>
      <c r="AD301" s="28">
        <f t="shared" si="169"/>
        <v>-1.2416080046458808E-19</v>
      </c>
      <c r="AE301" s="28">
        <f t="shared" si="169"/>
        <v>-8.2773866976392069E-20</v>
      </c>
      <c r="AF301" s="28">
        <f t="shared" si="169"/>
        <v>-1.4347470275907959E-19</v>
      </c>
      <c r="AG301" s="28"/>
    </row>
    <row r="302" spans="1:33" x14ac:dyDescent="0.2">
      <c r="A302" s="198" t="s">
        <v>265</v>
      </c>
      <c r="B302" s="212"/>
      <c r="C302" s="79">
        <f>(2*C16*C12*C172)</f>
        <v>1.455155512740427E-14</v>
      </c>
      <c r="D302" s="79">
        <f t="shared" ref="D302:AF302" si="170">(2*D16*D12*D172)</f>
        <v>9.2857164968046688E-15</v>
      </c>
      <c r="E302" s="79">
        <f t="shared" si="170"/>
        <v>1.4067784975179085E-14</v>
      </c>
      <c r="F302" s="79">
        <f t="shared" si="170"/>
        <v>4.2254842331559231E-14</v>
      </c>
      <c r="G302" s="79">
        <f t="shared" si="170"/>
        <v>3.8257934900075512E-14</v>
      </c>
      <c r="H302" s="79">
        <f t="shared" si="170"/>
        <v>1.8850368692493174E-14</v>
      </c>
      <c r="I302" s="79">
        <f t="shared" si="170"/>
        <v>1.5353707570158481E-14</v>
      </c>
      <c r="J302" s="79">
        <f t="shared" si="170"/>
        <v>1.5254559223248514E-14</v>
      </c>
      <c r="K302" s="79">
        <f t="shared" si="170"/>
        <v>7.6048115636834065E-15</v>
      </c>
      <c r="L302" s="79">
        <f t="shared" si="170"/>
        <v>5.7500005552034613E-15</v>
      </c>
      <c r="M302" s="79">
        <f t="shared" si="170"/>
        <v>5.3518198802188816E-15</v>
      </c>
      <c r="N302" s="79">
        <f t="shared" si="170"/>
        <v>8.0260870727869406E-15</v>
      </c>
      <c r="O302" s="79">
        <f t="shared" si="170"/>
        <v>2.5606116105406913E-15</v>
      </c>
      <c r="P302" s="79">
        <f t="shared" si="170"/>
        <v>4.4718603868195802E-15</v>
      </c>
      <c r="Q302" s="79">
        <f t="shared" si="170"/>
        <v>1.2999618358862042E-15</v>
      </c>
      <c r="R302" s="79">
        <f t="shared" si="170"/>
        <v>1.7608386701885295E-15</v>
      </c>
      <c r="S302" s="79">
        <f t="shared" si="170"/>
        <v>1.8008889832081503E-15</v>
      </c>
      <c r="T302" s="79">
        <f t="shared" si="170"/>
        <v>1.9487994109262506E-15</v>
      </c>
      <c r="U302" s="79">
        <f t="shared" si="170"/>
        <v>1.7519025013148407E-15</v>
      </c>
      <c r="V302" s="79">
        <f t="shared" si="170"/>
        <v>9.6103159816740755E-16</v>
      </c>
      <c r="W302" s="79">
        <f t="shared" si="170"/>
        <v>1.2152926016917958E-15</v>
      </c>
      <c r="X302" s="79">
        <f t="shared" si="170"/>
        <v>1.6149480443152264E-15</v>
      </c>
      <c r="Y302" s="79">
        <f t="shared" si="170"/>
        <v>1.6478973520370218E-15</v>
      </c>
      <c r="Z302" s="79">
        <f t="shared" si="170"/>
        <v>1.5412759640313145E-15</v>
      </c>
      <c r="AA302" s="79">
        <f t="shared" si="170"/>
        <v>1.8608950981481683E-12</v>
      </c>
      <c r="AB302" s="79">
        <f t="shared" si="170"/>
        <v>2.2916200437556809E-12</v>
      </c>
      <c r="AC302" s="79">
        <f t="shared" si="170"/>
        <v>1.0710228597503806E-12</v>
      </c>
      <c r="AD302" s="79">
        <f t="shared" si="170"/>
        <v>2.6280729438586725E-12</v>
      </c>
      <c r="AE302" s="79">
        <f t="shared" si="170"/>
        <v>2.3613031863456923E-12</v>
      </c>
      <c r="AF302" s="79">
        <f t="shared" si="170"/>
        <v>2.4143961861927963E-12</v>
      </c>
      <c r="AG302" s="30"/>
    </row>
    <row r="303" spans="1:33" x14ac:dyDescent="0.2">
      <c r="A303" s="44" t="s">
        <v>479</v>
      </c>
      <c r="B303" s="64"/>
      <c r="C303" s="28">
        <f t="shared" ref="C303:AF303" si="171">C302*C280</f>
        <v>4.3654665382212805E-18</v>
      </c>
      <c r="D303" s="28">
        <f t="shared" si="171"/>
        <v>2.7857149490414003E-18</v>
      </c>
      <c r="E303" s="28">
        <f t="shared" si="171"/>
        <v>4.2203354925537249E-18</v>
      </c>
      <c r="F303" s="28">
        <f t="shared" si="171"/>
        <v>1.2676452699467769E-17</v>
      </c>
      <c r="G303" s="28">
        <f t="shared" si="171"/>
        <v>1.1477380470022652E-17</v>
      </c>
      <c r="H303" s="28">
        <f t="shared" si="171"/>
        <v>5.6551106077479514E-18</v>
      </c>
      <c r="I303" s="28">
        <f t="shared" si="171"/>
        <v>4.6061122710475442E-18</v>
      </c>
      <c r="J303" s="28">
        <f t="shared" si="171"/>
        <v>4.5763677669745538E-18</v>
      </c>
      <c r="K303" s="28">
        <f t="shared" si="171"/>
        <v>2.2814434691050218E-18</v>
      </c>
      <c r="L303" s="28">
        <f t="shared" si="171"/>
        <v>1.7250001665610382E-18</v>
      </c>
      <c r="M303" s="28">
        <f t="shared" si="171"/>
        <v>1.6055459640656643E-18</v>
      </c>
      <c r="N303" s="28">
        <f t="shared" si="171"/>
        <v>2.4078261218360821E-18</v>
      </c>
      <c r="O303" s="28">
        <f t="shared" si="171"/>
        <v>7.6818348316220728E-19</v>
      </c>
      <c r="P303" s="28">
        <f t="shared" si="171"/>
        <v>1.3415581160458739E-18</v>
      </c>
      <c r="Q303" s="28">
        <f t="shared" si="171"/>
        <v>3.899885507658612E-19</v>
      </c>
      <c r="R303" s="28">
        <f t="shared" si="171"/>
        <v>1.8151577183281028E-19</v>
      </c>
      <c r="S303" s="28">
        <f t="shared" si="171"/>
        <v>1.7809184886449706E-19</v>
      </c>
      <c r="T303" s="28">
        <f t="shared" si="171"/>
        <v>1.8628824157960448E-19</v>
      </c>
      <c r="U303" s="28">
        <f t="shared" si="171"/>
        <v>1.8289633802138983E-19</v>
      </c>
      <c r="V303" s="28">
        <f t="shared" si="171"/>
        <v>1.060285454179312E-19</v>
      </c>
      <c r="W303" s="28">
        <f t="shared" si="171"/>
        <v>1.1339320970696326E-19</v>
      </c>
      <c r="X303" s="28">
        <f t="shared" si="171"/>
        <v>1.5781671217682589E-19</v>
      </c>
      <c r="Y303" s="28">
        <f t="shared" si="171"/>
        <v>1.8036527439763038E-19</v>
      </c>
      <c r="Z303" s="28">
        <f t="shared" si="171"/>
        <v>1.5503336814639309E-19</v>
      </c>
      <c r="AA303" s="28">
        <f t="shared" si="171"/>
        <v>3.7217901962963369E-16</v>
      </c>
      <c r="AB303" s="28">
        <f t="shared" si="171"/>
        <v>4.5832400875113624E-16</v>
      </c>
      <c r="AC303" s="28">
        <f t="shared" si="171"/>
        <v>2.1420457195007614E-16</v>
      </c>
      <c r="AD303" s="28">
        <f t="shared" si="171"/>
        <v>5.2561458877173454E-16</v>
      </c>
      <c r="AE303" s="28">
        <f t="shared" si="171"/>
        <v>4.7226063726913847E-16</v>
      </c>
      <c r="AF303" s="28">
        <f t="shared" si="171"/>
        <v>4.8287923723855928E-16</v>
      </c>
      <c r="AG303" s="28"/>
    </row>
    <row r="304" spans="1:33" x14ac:dyDescent="0.2">
      <c r="A304" s="198" t="s">
        <v>266</v>
      </c>
      <c r="B304" s="212"/>
      <c r="C304" s="79">
        <f>-C204</f>
        <v>-0.86115366949626537</v>
      </c>
      <c r="D304" s="79">
        <f t="shared" ref="D304:AF304" si="172">-D204</f>
        <v>-0.86115366949626537</v>
      </c>
      <c r="E304" s="79">
        <f t="shared" si="172"/>
        <v>-0.86115366949626537</v>
      </c>
      <c r="F304" s="79">
        <f t="shared" si="172"/>
        <v>-0.86115366949626537</v>
      </c>
      <c r="G304" s="79">
        <f t="shared" si="172"/>
        <v>-0.86115366949626537</v>
      </c>
      <c r="H304" s="79">
        <f t="shared" si="172"/>
        <v>-0.86115366949626537</v>
      </c>
      <c r="I304" s="79">
        <f t="shared" si="172"/>
        <v>-0.86115366949626537</v>
      </c>
      <c r="J304" s="79">
        <f t="shared" si="172"/>
        <v>-0.86115366949626537</v>
      </c>
      <c r="K304" s="79">
        <f t="shared" si="172"/>
        <v>-0.86115366949626537</v>
      </c>
      <c r="L304" s="79">
        <f t="shared" si="172"/>
        <v>-0.86115366949626537</v>
      </c>
      <c r="M304" s="79">
        <f t="shared" si="172"/>
        <v>-0.86115366949626537</v>
      </c>
      <c r="N304" s="79">
        <f t="shared" si="172"/>
        <v>-0.86115366949626537</v>
      </c>
      <c r="O304" s="79">
        <f t="shared" si="172"/>
        <v>-0.86115366949626537</v>
      </c>
      <c r="P304" s="79">
        <f t="shared" si="172"/>
        <v>-0.86115366949626537</v>
      </c>
      <c r="Q304" s="79">
        <f t="shared" si="172"/>
        <v>-0.86115366949626537</v>
      </c>
      <c r="R304" s="79">
        <f t="shared" si="172"/>
        <v>-0.86115366949626537</v>
      </c>
      <c r="S304" s="79">
        <f t="shared" si="172"/>
        <v>-0.86115366949626537</v>
      </c>
      <c r="T304" s="79">
        <f t="shared" si="172"/>
        <v>-0.86115366949626537</v>
      </c>
      <c r="U304" s="79">
        <f t="shared" si="172"/>
        <v>-0.86115366949626537</v>
      </c>
      <c r="V304" s="79">
        <f t="shared" si="172"/>
        <v>-0.86115366949626537</v>
      </c>
      <c r="W304" s="79">
        <f t="shared" si="172"/>
        <v>-0.86115366949626537</v>
      </c>
      <c r="X304" s="79">
        <f t="shared" si="172"/>
        <v>-0.86115366949626537</v>
      </c>
      <c r="Y304" s="79">
        <f t="shared" si="172"/>
        <v>-0.86115366949626537</v>
      </c>
      <c r="Z304" s="79">
        <f t="shared" si="172"/>
        <v>-0.86115366949626537</v>
      </c>
      <c r="AA304" s="79">
        <f t="shared" si="172"/>
        <v>-0.86115366949626537</v>
      </c>
      <c r="AB304" s="79">
        <f t="shared" si="172"/>
        <v>-0.86115366949626537</v>
      </c>
      <c r="AC304" s="79">
        <f t="shared" si="172"/>
        <v>-0.86115366949626537</v>
      </c>
      <c r="AD304" s="79">
        <f t="shared" si="172"/>
        <v>-0.86115366949626537</v>
      </c>
      <c r="AE304" s="79">
        <f t="shared" si="172"/>
        <v>-0.86115366949626537</v>
      </c>
      <c r="AF304" s="79">
        <f t="shared" si="172"/>
        <v>-0.86115366949626537</v>
      </c>
      <c r="AG304" s="30"/>
    </row>
    <row r="305" spans="1:33" x14ac:dyDescent="0.2">
      <c r="A305" s="44" t="s">
        <v>479</v>
      </c>
      <c r="B305" s="64"/>
      <c r="C305" s="28">
        <f t="shared" ref="C305:AF305" si="173">C304*C278</f>
        <v>-1.297016943736093E-16</v>
      </c>
      <c r="D305" s="28">
        <f t="shared" si="173"/>
        <v>-1.297016943736093E-16</v>
      </c>
      <c r="E305" s="28">
        <f t="shared" si="173"/>
        <v>-1.297016943736093E-16</v>
      </c>
      <c r="F305" s="28">
        <f t="shared" si="173"/>
        <v>-1.297016943736093E-16</v>
      </c>
      <c r="G305" s="28">
        <f t="shared" si="173"/>
        <v>-1.297016943736093E-16</v>
      </c>
      <c r="H305" s="28">
        <f t="shared" si="173"/>
        <v>-1.297016943736093E-16</v>
      </c>
      <c r="I305" s="28">
        <f t="shared" si="173"/>
        <v>-1.297016943736093E-16</v>
      </c>
      <c r="J305" s="28">
        <f t="shared" si="173"/>
        <v>-1.297016943736093E-16</v>
      </c>
      <c r="K305" s="28">
        <f t="shared" si="173"/>
        <v>-8.6951883171608855E-17</v>
      </c>
      <c r="L305" s="28">
        <f t="shared" si="173"/>
        <v>-1.0556088635571816E-16</v>
      </c>
      <c r="M305" s="28">
        <f t="shared" si="173"/>
        <v>-1.0349970911566615E-16</v>
      </c>
      <c r="N305" s="28">
        <f t="shared" si="173"/>
        <v>-1.2157672891197059E-16</v>
      </c>
      <c r="O305" s="28">
        <f t="shared" si="173"/>
        <v>-8.8831690295735236E-17</v>
      </c>
      <c r="P305" s="28">
        <f t="shared" si="173"/>
        <v>-8.3621161678472812E-17</v>
      </c>
      <c r="Q305" s="28">
        <f t="shared" si="173"/>
        <v>-6.4849797706518074E-17</v>
      </c>
      <c r="R305" s="28">
        <f t="shared" si="173"/>
        <v>-1.2515121104613655E-16</v>
      </c>
      <c r="S305" s="28">
        <f t="shared" si="173"/>
        <v>-1.297016943736093E-16</v>
      </c>
      <c r="T305" s="28">
        <f t="shared" si="173"/>
        <v>-1.297016943736093E-16</v>
      </c>
      <c r="U305" s="28">
        <f t="shared" si="173"/>
        <v>-1.297016943736093E-16</v>
      </c>
      <c r="V305" s="28">
        <f t="shared" si="173"/>
        <v>-8.7740949763791747E-17</v>
      </c>
      <c r="W305" s="28">
        <f t="shared" si="173"/>
        <v>-1.169669056358743E-16</v>
      </c>
      <c r="X305" s="28">
        <f t="shared" si="173"/>
        <v>-1.1189934012585716E-16</v>
      </c>
      <c r="Y305" s="28">
        <f t="shared" si="173"/>
        <v>-1.297016943736093E-16</v>
      </c>
      <c r="Z305" s="28">
        <f t="shared" si="173"/>
        <v>-1.297016943736093E-16</v>
      </c>
      <c r="AA305" s="28">
        <f t="shared" si="173"/>
        <v>-1.297016943736093E-16</v>
      </c>
      <c r="AB305" s="28">
        <f t="shared" si="173"/>
        <v>-1.297016943736093E-16</v>
      </c>
      <c r="AC305" s="28">
        <f t="shared" si="173"/>
        <v>-1.297016943736093E-16</v>
      </c>
      <c r="AD305" s="28">
        <f t="shared" si="173"/>
        <v>-1.297016943736093E-16</v>
      </c>
      <c r="AE305" s="28">
        <f t="shared" si="173"/>
        <v>-1.297016943736093E-16</v>
      </c>
      <c r="AF305" s="28">
        <f t="shared" si="173"/>
        <v>-1.297016943736093E-16</v>
      </c>
      <c r="AG305" s="28"/>
    </row>
    <row r="306" spans="1:33" x14ac:dyDescent="0.2">
      <c r="A306" s="198" t="s">
        <v>267</v>
      </c>
      <c r="B306" s="212"/>
      <c r="C306" s="79">
        <f>-C230</f>
        <v>-6.0245551505100691E-16</v>
      </c>
      <c r="D306" s="79">
        <f t="shared" ref="D306:AF306" si="174">-D230</f>
        <v>-6.0245551505100691E-16</v>
      </c>
      <c r="E306" s="79">
        <f t="shared" si="174"/>
        <v>-6.0245551505100691E-16</v>
      </c>
      <c r="F306" s="79">
        <f t="shared" si="174"/>
        <v>-6.0245551505100691E-16</v>
      </c>
      <c r="G306" s="79">
        <f t="shared" si="174"/>
        <v>-6.0245551505100691E-16</v>
      </c>
      <c r="H306" s="79">
        <f t="shared" si="174"/>
        <v>-6.0245551505100691E-16</v>
      </c>
      <c r="I306" s="79">
        <f t="shared" si="174"/>
        <v>-6.0245551505100691E-16</v>
      </c>
      <c r="J306" s="79">
        <f t="shared" si="174"/>
        <v>-6.0245551505100691E-16</v>
      </c>
      <c r="K306" s="79">
        <f t="shared" si="174"/>
        <v>-4.038855607384064E-16</v>
      </c>
      <c r="L306" s="79">
        <f t="shared" si="174"/>
        <v>-4.9032311000876925E-16</v>
      </c>
      <c r="M306" s="79">
        <f t="shared" si="174"/>
        <v>-4.8074908245451077E-16</v>
      </c>
      <c r="N306" s="79">
        <f t="shared" si="174"/>
        <v>-5.6471560520940375E-16</v>
      </c>
      <c r="O306" s="79">
        <f t="shared" si="174"/>
        <v>-4.1261713648713875E-16</v>
      </c>
      <c r="P306" s="79">
        <f t="shared" si="174"/>
        <v>-3.8841458680603334E-16</v>
      </c>
      <c r="Q306" s="79">
        <f t="shared" si="174"/>
        <v>-3.0122288276122504E-16</v>
      </c>
      <c r="R306" s="79">
        <f t="shared" si="174"/>
        <v>-5.8131883067673228E-16</v>
      </c>
      <c r="S306" s="79">
        <f t="shared" si="174"/>
        <v>-6.0245551505100691E-16</v>
      </c>
      <c r="T306" s="79">
        <f t="shared" si="174"/>
        <v>-6.0245551505100691E-16</v>
      </c>
      <c r="U306" s="79">
        <f t="shared" si="174"/>
        <v>-6.0245551505100691E-16</v>
      </c>
      <c r="V306" s="79">
        <f t="shared" si="174"/>
        <v>-4.0755072118599272E-16</v>
      </c>
      <c r="W306" s="79">
        <f t="shared" si="174"/>
        <v>-5.4330329082517629E-16</v>
      </c>
      <c r="X306" s="79">
        <f t="shared" si="174"/>
        <v>-5.197647950164948E-16</v>
      </c>
      <c r="Y306" s="79">
        <f t="shared" si="174"/>
        <v>-6.0245551505100691E-16</v>
      </c>
      <c r="Z306" s="79">
        <f t="shared" si="174"/>
        <v>-6.0245551505100691E-16</v>
      </c>
      <c r="AA306" s="79">
        <f t="shared" si="174"/>
        <v>-6.0245551505100691E-16</v>
      </c>
      <c r="AB306" s="79">
        <f t="shared" si="174"/>
        <v>-6.0245551505100691E-16</v>
      </c>
      <c r="AC306" s="79">
        <f t="shared" si="174"/>
        <v>-6.0245551505100691E-16</v>
      </c>
      <c r="AD306" s="79">
        <f t="shared" si="174"/>
        <v>-6.0245551505100691E-16</v>
      </c>
      <c r="AE306" s="79">
        <f t="shared" si="174"/>
        <v>-6.0245551505100691E-16</v>
      </c>
      <c r="AF306" s="79">
        <f t="shared" si="174"/>
        <v>-6.0245551505100691E-16</v>
      </c>
      <c r="AG306" s="30"/>
    </row>
    <row r="307" spans="1:33" x14ac:dyDescent="0.2">
      <c r="A307" s="44" t="s">
        <v>479</v>
      </c>
      <c r="B307" s="64"/>
      <c r="C307" s="28">
        <f t="shared" ref="C307:AF307" si="175">C306*C275</f>
        <v>-6.1959597134405878E-19</v>
      </c>
      <c r="D307" s="28">
        <f t="shared" si="175"/>
        <v>-6.1959597134405878E-19</v>
      </c>
      <c r="E307" s="28">
        <f t="shared" si="175"/>
        <v>-6.1959597134405878E-19</v>
      </c>
      <c r="F307" s="28">
        <f t="shared" si="175"/>
        <v>-6.1959597134405878E-19</v>
      </c>
      <c r="G307" s="28">
        <f t="shared" si="175"/>
        <v>-6.1959597134405878E-19</v>
      </c>
      <c r="H307" s="28">
        <f t="shared" si="175"/>
        <v>-6.1959597134405878E-19</v>
      </c>
      <c r="I307" s="28">
        <f t="shared" si="175"/>
        <v>-6.1959597134405878E-19</v>
      </c>
      <c r="J307" s="28">
        <f t="shared" si="175"/>
        <v>-6.1959597134405878E-19</v>
      </c>
      <c r="K307" s="28">
        <f t="shared" si="175"/>
        <v>-4.1537650509575914E-19</v>
      </c>
      <c r="L307" s="28">
        <f t="shared" si="175"/>
        <v>-5.0427328828187711E-19</v>
      </c>
      <c r="M307" s="28">
        <f t="shared" si="175"/>
        <v>-4.9442687015812018E-19</v>
      </c>
      <c r="N307" s="28">
        <f t="shared" si="175"/>
        <v>-5.8078232367620478E-19</v>
      </c>
      <c r="O307" s="28">
        <f t="shared" si="175"/>
        <v>-4.2435650282545376E-19</v>
      </c>
      <c r="P307" s="28">
        <f t="shared" si="175"/>
        <v>-3.9946536662696162E-19</v>
      </c>
      <c r="Q307" s="28">
        <f t="shared" si="175"/>
        <v>-3.0979297221587752E-19</v>
      </c>
      <c r="R307" s="28">
        <f t="shared" si="175"/>
        <v>-5.9785792735791871E-19</v>
      </c>
      <c r="S307" s="28">
        <f t="shared" si="175"/>
        <v>-6.1959597134405878E-19</v>
      </c>
      <c r="T307" s="28">
        <f t="shared" si="175"/>
        <v>-6.1959597134405878E-19</v>
      </c>
      <c r="U307" s="28">
        <f t="shared" si="175"/>
        <v>-6.1959597134405878E-19</v>
      </c>
      <c r="V307" s="28">
        <f t="shared" si="175"/>
        <v>-4.1914594298937986E-19</v>
      </c>
      <c r="W307" s="28">
        <f t="shared" si="175"/>
        <v>-5.5876080773324503E-19</v>
      </c>
      <c r="X307" s="28">
        <f t="shared" si="175"/>
        <v>-5.345526183977664E-19</v>
      </c>
      <c r="Y307" s="28">
        <f t="shared" si="175"/>
        <v>-6.1959597134405878E-19</v>
      </c>
      <c r="Z307" s="28">
        <f t="shared" si="175"/>
        <v>-6.1959597134405878E-19</v>
      </c>
      <c r="AA307" s="28">
        <f t="shared" si="175"/>
        <v>-6.1959597134405878E-19</v>
      </c>
      <c r="AB307" s="28">
        <f t="shared" si="175"/>
        <v>-6.1959597134405878E-19</v>
      </c>
      <c r="AC307" s="28">
        <f t="shared" si="175"/>
        <v>-6.1959597134405878E-19</v>
      </c>
      <c r="AD307" s="28">
        <f t="shared" si="175"/>
        <v>-6.1959597134405878E-19</v>
      </c>
      <c r="AE307" s="28">
        <f t="shared" si="175"/>
        <v>-6.1959597134405878E-19</v>
      </c>
      <c r="AF307" s="28">
        <f t="shared" si="175"/>
        <v>-6.1959597134405878E-19</v>
      </c>
      <c r="AG307" s="28"/>
    </row>
    <row r="308" spans="1:33" s="15" customFormat="1" x14ac:dyDescent="0.2">
      <c r="A308" s="44" t="s">
        <v>170</v>
      </c>
      <c r="B308" s="212"/>
      <c r="C308" s="79">
        <f>(C16*C12*((C252/C20)^2-(C250/C16)^2-(C248/C12)^2))/2</f>
        <v>-5.51341357146214E-10</v>
      </c>
      <c r="D308" s="79">
        <f t="shared" ref="D308:AF308" si="176">(D16*D12*((D252/D20)^2-(D250/D16)^2-(D248/D12)^2))/2</f>
        <v>-2.3395664791681169E-8</v>
      </c>
      <c r="E308" s="79">
        <f t="shared" si="176"/>
        <v>-4.3939010185827103E-9</v>
      </c>
      <c r="F308" s="79">
        <f t="shared" si="176"/>
        <v>-3.5851324095889986E-9</v>
      </c>
      <c r="G308" s="79">
        <f t="shared" si="176"/>
        <v>-8.9589478760206901E-9</v>
      </c>
      <c r="H308" s="79">
        <f t="shared" si="176"/>
        <v>-4.933904359648706E-9</v>
      </c>
      <c r="I308" s="79">
        <f t="shared" si="176"/>
        <v>-9.6214517809471212E-9</v>
      </c>
      <c r="J308" s="79">
        <f t="shared" si="176"/>
        <v>-3.374020025769033E-9</v>
      </c>
      <c r="K308" s="79">
        <f t="shared" si="176"/>
        <v>-8.9983363548038749E-11</v>
      </c>
      <c r="L308" s="79">
        <f t="shared" si="176"/>
        <v>-6.2800676817574494E-11</v>
      </c>
      <c r="M308" s="79">
        <f t="shared" si="176"/>
        <v>-2.0619908467345565E-10</v>
      </c>
      <c r="N308" s="79">
        <f t="shared" si="176"/>
        <v>1.9230813582170123E-10</v>
      </c>
      <c r="O308" s="79">
        <f t="shared" si="176"/>
        <v>-3.8885660943472807E-10</v>
      </c>
      <c r="P308" s="79">
        <f t="shared" si="176"/>
        <v>-9.6017562342050479E-12</v>
      </c>
      <c r="Q308" s="79">
        <f t="shared" si="176"/>
        <v>-7.697231440054471E-10</v>
      </c>
      <c r="R308" s="79">
        <f t="shared" si="176"/>
        <v>-1.1187611128029638E-10</v>
      </c>
      <c r="S308" s="79">
        <f t="shared" si="176"/>
        <v>-1.6972072490045389E-9</v>
      </c>
      <c r="T308" s="79">
        <f t="shared" si="176"/>
        <v>-1.6000219060789803E-9</v>
      </c>
      <c r="U308" s="79">
        <f t="shared" si="176"/>
        <v>-4.476003031162452E-10</v>
      </c>
      <c r="V308" s="79">
        <f t="shared" si="176"/>
        <v>-4.9302796697497502E-10</v>
      </c>
      <c r="W308" s="79">
        <f t="shared" si="176"/>
        <v>-3.1808839325644037E-11</v>
      </c>
      <c r="X308" s="79">
        <f t="shared" si="176"/>
        <v>-1.386497560353999E-9</v>
      </c>
      <c r="Y308" s="79">
        <f t="shared" si="176"/>
        <v>-9.5034421681008181E-10</v>
      </c>
      <c r="Z308" s="79">
        <f t="shared" si="176"/>
        <v>-3.52262494386793E-10</v>
      </c>
      <c r="AA308" s="79">
        <f t="shared" si="176"/>
        <v>1.4173086343564329E-8</v>
      </c>
      <c r="AB308" s="79">
        <f t="shared" si="176"/>
        <v>2.4221712133253815E-8</v>
      </c>
      <c r="AC308" s="79">
        <f t="shared" si="176"/>
        <v>5.6511811757263224E-12</v>
      </c>
      <c r="AD308" s="79">
        <f t="shared" si="176"/>
        <v>-2.1045410903639222E-9</v>
      </c>
      <c r="AE308" s="79">
        <f t="shared" si="176"/>
        <v>4.4701720642518783E-8</v>
      </c>
      <c r="AF308" s="79">
        <f t="shared" si="176"/>
        <v>-1.4449077000771733E-9</v>
      </c>
      <c r="AG308" s="30"/>
    </row>
    <row r="309" spans="1:33" x14ac:dyDescent="0.2">
      <c r="A309" s="6" t="s">
        <v>174</v>
      </c>
      <c r="B309" s="64"/>
      <c r="C309" s="28">
        <f t="shared" ref="C309:AF309" si="177">C308*C294*C296</f>
        <v>-4.0969789250609851E-37</v>
      </c>
      <c r="D309" s="28">
        <f t="shared" si="177"/>
        <v>-9.693706026881214E-36</v>
      </c>
      <c r="E309" s="28">
        <f t="shared" si="177"/>
        <v>-2.5742564069170131E-36</v>
      </c>
      <c r="F309" s="28">
        <f t="shared" si="177"/>
        <v>-7.2102354033624533E-36</v>
      </c>
      <c r="G309" s="28">
        <f t="shared" si="177"/>
        <v>-2.1751290500040374E-35</v>
      </c>
      <c r="H309" s="28">
        <f t="shared" si="177"/>
        <v>-4.7033497271977981E-36</v>
      </c>
      <c r="I309" s="28">
        <f t="shared" si="177"/>
        <v>-5.6395067771846356E-36</v>
      </c>
      <c r="J309" s="28">
        <f t="shared" si="177"/>
        <v>-2.1945339094294126E-36</v>
      </c>
      <c r="K309" s="28">
        <f t="shared" si="177"/>
        <v>-4.5348126343808313E-38</v>
      </c>
      <c r="L309" s="28">
        <f t="shared" si="177"/>
        <v>-1.7403563429105163E-38</v>
      </c>
      <c r="M309" s="28">
        <f t="shared" si="177"/>
        <v>-4.4321346409118586E-38</v>
      </c>
      <c r="N309" s="28">
        <f t="shared" si="177"/>
        <v>9.0661337789225559E-38</v>
      </c>
      <c r="O309" s="28">
        <f t="shared" si="177"/>
        <v>-2.6493772428878832E-38</v>
      </c>
      <c r="P309" s="28">
        <f t="shared" si="177"/>
        <v>-1.702945463968269E-39</v>
      </c>
      <c r="Q309" s="28">
        <f t="shared" si="177"/>
        <v>-4.7722533272888339E-38</v>
      </c>
      <c r="R309" s="28">
        <f t="shared" si="177"/>
        <v>-5.2466796201104491E-39</v>
      </c>
      <c r="S309" s="28">
        <f t="shared" si="177"/>
        <v>-8.4505240266425789E-38</v>
      </c>
      <c r="T309" s="28">
        <f t="shared" si="177"/>
        <v>-1.2358433585688715E-37</v>
      </c>
      <c r="U309" s="28">
        <f t="shared" si="177"/>
        <v>-2.8335756832372526E-38</v>
      </c>
      <c r="V309" s="28">
        <f t="shared" si="177"/>
        <v>-1.6887632658793418E-38</v>
      </c>
      <c r="W309" s="28">
        <f t="shared" si="177"/>
        <v>-2.0153809237224022E-39</v>
      </c>
      <c r="X309" s="28">
        <f t="shared" si="177"/>
        <v>-5.6049438601225047E-38</v>
      </c>
      <c r="Y309" s="28">
        <f t="shared" si="177"/>
        <v>-3.2214767573618721E-38</v>
      </c>
      <c r="Z309" s="28">
        <f t="shared" si="177"/>
        <v>-2.2886373742828467E-38</v>
      </c>
      <c r="AA309" s="28">
        <f t="shared" si="177"/>
        <v>1.6958467308511252E-33</v>
      </c>
      <c r="AB309" s="28">
        <f t="shared" si="177"/>
        <v>3.7611871108024385E-33</v>
      </c>
      <c r="AC309" s="28">
        <f t="shared" si="177"/>
        <v>4.1012426017069934E-37</v>
      </c>
      <c r="AD309" s="28">
        <f t="shared" si="177"/>
        <v>-3.6930527818718699E-34</v>
      </c>
      <c r="AE309" s="28">
        <f t="shared" si="177"/>
        <v>4.6986751905098131E-33</v>
      </c>
      <c r="AF309" s="28">
        <f t="shared" si="177"/>
        <v>-2.6917217371828439E-34</v>
      </c>
      <c r="AG309" s="28"/>
    </row>
    <row r="310" spans="1:33" s="15" customFormat="1" x14ac:dyDescent="0.2">
      <c r="A310" s="44" t="s">
        <v>171</v>
      </c>
      <c r="B310" s="212"/>
      <c r="C310" s="79">
        <f>(C162*C154*((C261/C156)^2-(C265/C162)^2-(C260/C154)^2))/2</f>
        <v>-2.0627443484864661E-11</v>
      </c>
      <c r="D310" s="79">
        <f t="shared" ref="D310:AF310" si="178">(D162*D154*((D261/D156)^2-(D265/D162)^2-(D260/D154)^2))/2</f>
        <v>-2.0627443484864661E-11</v>
      </c>
      <c r="E310" s="79">
        <f t="shared" si="178"/>
        <v>-2.0627443484864661E-11</v>
      </c>
      <c r="F310" s="79">
        <f t="shared" si="178"/>
        <v>-2.0627443484864661E-11</v>
      </c>
      <c r="G310" s="79">
        <f t="shared" si="178"/>
        <v>-2.0627443484864661E-11</v>
      </c>
      <c r="H310" s="79">
        <f t="shared" si="178"/>
        <v>-2.0627443484864661E-11</v>
      </c>
      <c r="I310" s="79">
        <f t="shared" si="178"/>
        <v>-2.0627443484864661E-11</v>
      </c>
      <c r="J310" s="79">
        <f t="shared" si="178"/>
        <v>-2.0627443484864661E-11</v>
      </c>
      <c r="K310" s="79">
        <f t="shared" si="178"/>
        <v>-9.0571912308215313E-27</v>
      </c>
      <c r="L310" s="79">
        <f t="shared" si="178"/>
        <v>-9.0571912308215313E-27</v>
      </c>
      <c r="M310" s="79">
        <f t="shared" si="178"/>
        <v>-9.0571912308215313E-27</v>
      </c>
      <c r="N310" s="79">
        <f t="shared" si="178"/>
        <v>-9.0571912308215313E-27</v>
      </c>
      <c r="O310" s="79">
        <f t="shared" si="178"/>
        <v>-9.0571912308215313E-27</v>
      </c>
      <c r="P310" s="79">
        <f t="shared" si="178"/>
        <v>-9.0571912308215313E-27</v>
      </c>
      <c r="Q310" s="79">
        <f t="shared" si="178"/>
        <v>-9.0571912308215313E-27</v>
      </c>
      <c r="R310" s="79">
        <f t="shared" si="178"/>
        <v>1.4240210662894857E-10</v>
      </c>
      <c r="S310" s="79">
        <f t="shared" si="178"/>
        <v>1.4240210662894857E-10</v>
      </c>
      <c r="T310" s="79">
        <f t="shared" si="178"/>
        <v>1.4240210662894857E-10</v>
      </c>
      <c r="U310" s="79">
        <f t="shared" si="178"/>
        <v>1.4240210662894857E-10</v>
      </c>
      <c r="V310" s="79">
        <f t="shared" si="178"/>
        <v>1.4240210662894857E-10</v>
      </c>
      <c r="W310" s="79">
        <f t="shared" si="178"/>
        <v>1.4240210662894857E-10</v>
      </c>
      <c r="X310" s="79">
        <f t="shared" si="178"/>
        <v>1.4240210662894857E-10</v>
      </c>
      <c r="Y310" s="79">
        <f t="shared" si="178"/>
        <v>1.4240210662894857E-10</v>
      </c>
      <c r="Z310" s="79">
        <f t="shared" si="178"/>
        <v>1.4240210662894857E-10</v>
      </c>
      <c r="AA310" s="79">
        <f t="shared" si="178"/>
        <v>-2.0627443484864661E-11</v>
      </c>
      <c r="AB310" s="79">
        <f t="shared" si="178"/>
        <v>-2.0627443484864661E-11</v>
      </c>
      <c r="AC310" s="79">
        <f t="shared" si="178"/>
        <v>-2.0627443484864661E-11</v>
      </c>
      <c r="AD310" s="79">
        <f t="shared" si="178"/>
        <v>-2.0627443484864661E-11</v>
      </c>
      <c r="AE310" s="79">
        <f t="shared" si="178"/>
        <v>-2.0627443484864661E-11</v>
      </c>
      <c r="AF310" s="79">
        <f t="shared" si="178"/>
        <v>-2.0627443484864661E-11</v>
      </c>
      <c r="AG310" s="30"/>
    </row>
    <row r="311" spans="1:33" x14ac:dyDescent="0.2">
      <c r="A311" s="6" t="s">
        <v>174</v>
      </c>
      <c r="B311" s="64"/>
      <c r="C311" s="28">
        <f t="shared" ref="C311:AF311" si="179">C310*C298*C300</f>
        <v>-8.0773809951161837E-40</v>
      </c>
      <c r="D311" s="28">
        <f t="shared" si="179"/>
        <v>-6.1671020888341093E-40</v>
      </c>
      <c r="E311" s="28">
        <f t="shared" si="179"/>
        <v>-5.3722311529399352E-40</v>
      </c>
      <c r="F311" s="28">
        <f t="shared" si="179"/>
        <v>-7.0167917099623644E-40</v>
      </c>
      <c r="G311" s="28">
        <f t="shared" si="179"/>
        <v>-1.2474296373266428E-39</v>
      </c>
      <c r="H311" s="28">
        <f t="shared" si="179"/>
        <v>-7.9213000163247014E-40</v>
      </c>
      <c r="I311" s="28">
        <f t="shared" si="179"/>
        <v>-4.5141664549009192E-40</v>
      </c>
      <c r="J311" s="28">
        <f t="shared" si="179"/>
        <v>-5.6310971665453188E-40</v>
      </c>
      <c r="K311" s="28">
        <f t="shared" si="179"/>
        <v>-5.3748207161537077E-56</v>
      </c>
      <c r="L311" s="28">
        <f t="shared" si="179"/>
        <v>-2.8428803787920429E-56</v>
      </c>
      <c r="M311" s="28">
        <f t="shared" si="179"/>
        <v>-1.9742224852722525E-56</v>
      </c>
      <c r="N311" s="28">
        <f t="shared" si="179"/>
        <v>-4.2226768126393546E-56</v>
      </c>
      <c r="O311" s="28">
        <f t="shared" si="179"/>
        <v>-8.6649858767652483E-57</v>
      </c>
      <c r="P311" s="28">
        <f t="shared" si="179"/>
        <v>-1.9251753954037702E-56</v>
      </c>
      <c r="Q311" s="28">
        <f t="shared" si="179"/>
        <v>-2.7839621764972004E-56</v>
      </c>
      <c r="R311" s="28">
        <f t="shared" si="179"/>
        <v>2.5946113349351069E-40</v>
      </c>
      <c r="S311" s="28">
        <f t="shared" si="179"/>
        <v>2.7941257700885357E-40</v>
      </c>
      <c r="T311" s="28">
        <f t="shared" si="179"/>
        <v>5.7646740268173728E-40</v>
      </c>
      <c r="U311" s="28">
        <f t="shared" si="179"/>
        <v>4.7883464436823046E-40</v>
      </c>
      <c r="V311" s="28">
        <f t="shared" si="179"/>
        <v>4.6562604981872107E-40</v>
      </c>
      <c r="W311" s="28">
        <f t="shared" si="179"/>
        <v>9.9905006047198688E-40</v>
      </c>
      <c r="X311" s="28">
        <f t="shared" si="179"/>
        <v>2.3091948513128398E-40</v>
      </c>
      <c r="Y311" s="28">
        <f t="shared" si="179"/>
        <v>1.5527026180227537E-40</v>
      </c>
      <c r="Z311" s="28">
        <f t="shared" si="179"/>
        <v>6.5174715483453578E-40</v>
      </c>
      <c r="AA311" s="28">
        <f t="shared" si="179"/>
        <v>-1.2867163617444007E-39</v>
      </c>
      <c r="AB311" s="28">
        <f t="shared" si="179"/>
        <v>-1.4290165321645359E-39</v>
      </c>
      <c r="AC311" s="28">
        <f t="shared" si="179"/>
        <v>-1.4290165321645359E-39</v>
      </c>
      <c r="AD311" s="28">
        <f t="shared" si="179"/>
        <v>-1.3875979699876746E-39</v>
      </c>
      <c r="AE311" s="28">
        <f t="shared" si="179"/>
        <v>-6.1671020888341093E-40</v>
      </c>
      <c r="AF311" s="28">
        <f t="shared" si="179"/>
        <v>-1.8528715609119369E-39</v>
      </c>
      <c r="AG311" s="28"/>
    </row>
    <row r="312" spans="1:33" x14ac:dyDescent="0.2">
      <c r="A312" s="41" t="s">
        <v>268</v>
      </c>
      <c r="B312" s="44"/>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40"/>
    </row>
    <row r="313" spans="1:33" x14ac:dyDescent="0.2">
      <c r="A313" s="198" t="s">
        <v>269</v>
      </c>
      <c r="B313" s="212"/>
      <c r="C313" s="79">
        <f>C14*(1-C222)*C172</f>
        <v>1.7235349700484182E-15</v>
      </c>
      <c r="D313" s="79">
        <f t="shared" ref="D313:AF313" si="180">D14*(1-D222)*D172</f>
        <v>4.0932192378566586E-15</v>
      </c>
      <c r="E313" s="79">
        <f t="shared" si="180"/>
        <v>3.5983511989974781E-15</v>
      </c>
      <c r="F313" s="79">
        <f t="shared" si="180"/>
        <v>4.5704612360329994E-15</v>
      </c>
      <c r="G313" s="79">
        <f t="shared" si="180"/>
        <v>5.6717516816315107E-15</v>
      </c>
      <c r="H313" s="79">
        <f t="shared" si="180"/>
        <v>4.5991792552632887E-15</v>
      </c>
      <c r="I313" s="79">
        <f t="shared" si="180"/>
        <v>3.0267841388325138E-15</v>
      </c>
      <c r="J313" s="79">
        <f t="shared" si="180"/>
        <v>3.5327988295525446E-15</v>
      </c>
      <c r="K313" s="79">
        <f t="shared" si="180"/>
        <v>6.1645685051508354E-17</v>
      </c>
      <c r="L313" s="79">
        <f t="shared" si="180"/>
        <v>6.583003030451734E-17</v>
      </c>
      <c r="M313" s="79">
        <f t="shared" si="180"/>
        <v>5.6105326792811841E-17</v>
      </c>
      <c r="N313" s="79">
        <f t="shared" si="180"/>
        <v>6.5089663694089557E-17</v>
      </c>
      <c r="O313" s="79">
        <f t="shared" si="180"/>
        <v>7.38165958435845E-17</v>
      </c>
      <c r="P313" s="79">
        <f t="shared" si="180"/>
        <v>5.5628333005614698E-17</v>
      </c>
      <c r="Q313" s="79">
        <f t="shared" si="180"/>
        <v>2.9451358077767123E-16</v>
      </c>
      <c r="R313" s="79">
        <f t="shared" si="180"/>
        <v>2.4571844089294096E-16</v>
      </c>
      <c r="S313" s="79">
        <f t="shared" si="180"/>
        <v>2.7678894038525694E-16</v>
      </c>
      <c r="T313" s="79">
        <f t="shared" si="180"/>
        <v>5.3029225984735953E-16</v>
      </c>
      <c r="U313" s="79">
        <f t="shared" si="180"/>
        <v>8.0996868493669427E-16</v>
      </c>
      <c r="V313" s="79">
        <f t="shared" si="180"/>
        <v>9.2589917790199688E-16</v>
      </c>
      <c r="W313" s="79">
        <f t="shared" si="180"/>
        <v>1.9379433288498636E-15</v>
      </c>
      <c r="X313" s="79">
        <f t="shared" si="180"/>
        <v>2.2868689646986765E-16</v>
      </c>
      <c r="Y313" s="79">
        <f t="shared" si="180"/>
        <v>3.2649293304381938E-16</v>
      </c>
      <c r="Z313" s="79">
        <f t="shared" si="180"/>
        <v>7.7548614851924251E-16</v>
      </c>
      <c r="AA313" s="79">
        <f t="shared" si="180"/>
        <v>3.0885681234673529E-18</v>
      </c>
      <c r="AB313" s="79">
        <f t="shared" si="180"/>
        <v>2.4683909464202804E-18</v>
      </c>
      <c r="AC313" s="79">
        <f t="shared" si="180"/>
        <v>3.7600219514108514E-18</v>
      </c>
      <c r="AD313" s="79">
        <f t="shared" si="180"/>
        <v>4.3942925273225561E-18</v>
      </c>
      <c r="AE313" s="79">
        <f t="shared" si="180"/>
        <v>2.8414693738685319E-18</v>
      </c>
      <c r="AF313" s="79">
        <f t="shared" si="180"/>
        <v>7.7076396059564076E-18</v>
      </c>
      <c r="AG313" s="30"/>
    </row>
    <row r="314" spans="1:33" x14ac:dyDescent="0.2">
      <c r="A314" s="44" t="s">
        <v>479</v>
      </c>
      <c r="B314" s="64"/>
      <c r="C314" s="28">
        <f t="shared" ref="C314:AF314" si="181">C313*C248</f>
        <v>4.7069660492576638E-20</v>
      </c>
      <c r="D314" s="28">
        <f t="shared" si="181"/>
        <v>1.8038974334113951E-19</v>
      </c>
      <c r="E314" s="28">
        <f t="shared" si="181"/>
        <v>1.1677344257507485E-19</v>
      </c>
      <c r="F314" s="28">
        <f t="shared" si="181"/>
        <v>2.567605044930916E-19</v>
      </c>
      <c r="G314" s="28">
        <f t="shared" si="181"/>
        <v>3.4772986141346374E-19</v>
      </c>
      <c r="H314" s="28">
        <f t="shared" si="181"/>
        <v>1.5988728000662029E-19</v>
      </c>
      <c r="I314" s="28">
        <f t="shared" si="181"/>
        <v>1.6075424815964409E-19</v>
      </c>
      <c r="J314" s="28">
        <f t="shared" si="181"/>
        <v>9.3603074097827322E-20</v>
      </c>
      <c r="K314" s="28">
        <f t="shared" si="181"/>
        <v>2.1431344645391547E-21</v>
      </c>
      <c r="L314" s="28">
        <f t="shared" si="181"/>
        <v>2.7275964226905188E-21</v>
      </c>
      <c r="M314" s="28">
        <f t="shared" si="181"/>
        <v>4.8475928259212389E-21</v>
      </c>
      <c r="N314" s="28">
        <f t="shared" si="181"/>
        <v>3.3241262704424793E-21</v>
      </c>
      <c r="O314" s="28">
        <f t="shared" si="181"/>
        <v>2.5036434210158578E-21</v>
      </c>
      <c r="P314" s="28">
        <f t="shared" si="181"/>
        <v>3.0660184479591535E-21</v>
      </c>
      <c r="Q314" s="28">
        <f t="shared" si="181"/>
        <v>9.2204687605188542E-21</v>
      </c>
      <c r="R314" s="28">
        <f t="shared" si="181"/>
        <v>7.7221432019453572E-21</v>
      </c>
      <c r="S314" s="28">
        <f t="shared" si="181"/>
        <v>1.2052137052062666E-20</v>
      </c>
      <c r="T314" s="28">
        <f t="shared" si="181"/>
        <v>1.1744828232639835E-20</v>
      </c>
      <c r="U314" s="28">
        <f t="shared" si="181"/>
        <v>1.5162638382142408E-20</v>
      </c>
      <c r="V314" s="28">
        <f t="shared" si="181"/>
        <v>1.3899378662573902E-20</v>
      </c>
      <c r="W314" s="28">
        <f t="shared" si="181"/>
        <v>1.1346029609109764E-20</v>
      </c>
      <c r="X314" s="28">
        <f t="shared" si="181"/>
        <v>6.9133088538057312E-21</v>
      </c>
      <c r="Y314" s="28">
        <f t="shared" si="181"/>
        <v>1.3520038101266959E-20</v>
      </c>
      <c r="Z314" s="28">
        <f t="shared" si="181"/>
        <v>1.4981794097136556E-20</v>
      </c>
      <c r="AA314" s="28">
        <f t="shared" si="181"/>
        <v>1.8335005709720114E-20</v>
      </c>
      <c r="AB314" s="28">
        <f t="shared" si="181"/>
        <v>2.7683911179414546E-20</v>
      </c>
      <c r="AC314" s="28">
        <f t="shared" si="181"/>
        <v>7.7827066230945069E-21</v>
      </c>
      <c r="AD314" s="28">
        <f t="shared" si="181"/>
        <v>2.7823761196924782E-20</v>
      </c>
      <c r="AE314" s="28">
        <f t="shared" si="181"/>
        <v>3.6478087731384931E-20</v>
      </c>
      <c r="AF314" s="28">
        <f t="shared" si="181"/>
        <v>4.1036208864670001E-20</v>
      </c>
      <c r="AG314" s="28"/>
    </row>
    <row r="315" spans="1:33" x14ac:dyDescent="0.2">
      <c r="A315" s="198" t="s">
        <v>270</v>
      </c>
      <c r="B315" s="212"/>
      <c r="C315" s="79">
        <f>C12*(1-C222)*C172</f>
        <v>2.4631610441175382E-14</v>
      </c>
      <c r="D315" s="79">
        <f t="shared" ref="D315:AF315" si="182">D12*(1-D222)*D172</f>
        <v>6.5089734694424945E-15</v>
      </c>
      <c r="E315" s="79">
        <f t="shared" si="182"/>
        <v>1.0324446106368389E-14</v>
      </c>
      <c r="F315" s="79">
        <f t="shared" si="182"/>
        <v>2.7922382688891285E-14</v>
      </c>
      <c r="G315" s="79">
        <f t="shared" si="182"/>
        <v>2.7190298504362759E-14</v>
      </c>
      <c r="H315" s="79">
        <f t="shared" si="182"/>
        <v>1.3159484729697715E-14</v>
      </c>
      <c r="I315" s="79">
        <f t="shared" si="182"/>
        <v>1.2185142352653765E-14</v>
      </c>
      <c r="J315" s="79">
        <f t="shared" si="182"/>
        <v>1.1588690376565125E-14</v>
      </c>
      <c r="K315" s="79">
        <f t="shared" si="182"/>
        <v>7.2833776378395857E-14</v>
      </c>
      <c r="L315" s="79">
        <f t="shared" si="182"/>
        <v>5.1902371142743176E-14</v>
      </c>
      <c r="M315" s="79">
        <f t="shared" si="182"/>
        <v>4.7970126025757418E-14</v>
      </c>
      <c r="N315" s="79">
        <f t="shared" si="182"/>
        <v>7.4708640151273302E-14</v>
      </c>
      <c r="O315" s="79">
        <f t="shared" si="182"/>
        <v>1.9733571548935007E-14</v>
      </c>
      <c r="P315" s="79">
        <f t="shared" si="182"/>
        <v>4.0411276461714064E-14</v>
      </c>
      <c r="Q315" s="79">
        <f t="shared" si="182"/>
        <v>8.0842435150098568E-15</v>
      </c>
      <c r="R315" s="79">
        <f t="shared" si="182"/>
        <v>8.2610216395136735E-15</v>
      </c>
      <c r="S315" s="79">
        <f t="shared" si="182"/>
        <v>8.0233074904501898E-15</v>
      </c>
      <c r="T315" s="79">
        <f t="shared" si="182"/>
        <v>7.3259453370831646E-15</v>
      </c>
      <c r="U315" s="79">
        <f t="shared" si="182"/>
        <v>4.5077204605791301E-15</v>
      </c>
      <c r="V315" s="79">
        <f t="shared" si="182"/>
        <v>2.3638802296421976E-15</v>
      </c>
      <c r="W315" s="79">
        <f t="shared" si="182"/>
        <v>2.265020797092189E-15</v>
      </c>
      <c r="X315" s="79">
        <f t="shared" si="182"/>
        <v>7.5612228692686917E-15</v>
      </c>
      <c r="Y315" s="79">
        <f t="shared" si="182"/>
        <v>5.3003261567301461E-15</v>
      </c>
      <c r="Z315" s="79">
        <f t="shared" si="182"/>
        <v>4.7494042435996554E-15</v>
      </c>
      <c r="AA315" s="79">
        <f t="shared" si="182"/>
        <v>5.3853563372965817E-12</v>
      </c>
      <c r="AB315" s="79">
        <f t="shared" si="182"/>
        <v>6.6286585343216665E-12</v>
      </c>
      <c r="AC315" s="79">
        <f t="shared" si="182"/>
        <v>3.095907672951529E-12</v>
      </c>
      <c r="AD315" s="79">
        <f t="shared" si="182"/>
        <v>7.5917904729016174E-12</v>
      </c>
      <c r="AE315" s="79">
        <f t="shared" si="182"/>
        <v>6.8300327958206257E-12</v>
      </c>
      <c r="AF315" s="79">
        <f t="shared" si="182"/>
        <v>6.9662759167717325E-12</v>
      </c>
      <c r="AG315" s="30"/>
    </row>
    <row r="316" spans="1:33" x14ac:dyDescent="0.2">
      <c r="A316" s="44" t="s">
        <v>479</v>
      </c>
      <c r="B316" s="64"/>
      <c r="C316" s="28">
        <f t="shared" ref="C316:AF316" si="183">C315*C249</f>
        <v>2.6220852309681946E-19</v>
      </c>
      <c r="D316" s="28">
        <f t="shared" si="183"/>
        <v>6.6093265046174069E-19</v>
      </c>
      <c r="E316" s="28">
        <f t="shared" si="183"/>
        <v>4.5383620424223121E-19</v>
      </c>
      <c r="F316" s="28">
        <f t="shared" si="183"/>
        <v>7.0599058612575012E-19</v>
      </c>
      <c r="G316" s="28">
        <f t="shared" si="183"/>
        <v>1.1414815089915612E-18</v>
      </c>
      <c r="H316" s="28">
        <f t="shared" si="183"/>
        <v>5.2009969714977857E-19</v>
      </c>
      <c r="I316" s="28">
        <f t="shared" si="183"/>
        <v>5.5946601437227592E-19</v>
      </c>
      <c r="J316" s="28">
        <f t="shared" si="183"/>
        <v>3.3878952682248623E-19</v>
      </c>
      <c r="K316" s="28">
        <f t="shared" si="183"/>
        <v>7.310619333431225E-20</v>
      </c>
      <c r="L316" s="28">
        <f t="shared" si="183"/>
        <v>1.0794511328937591E-19</v>
      </c>
      <c r="M316" s="28">
        <f t="shared" si="183"/>
        <v>8.4456087962335729E-20</v>
      </c>
      <c r="N316" s="28">
        <f t="shared" si="183"/>
        <v>1.140999483900581E-19</v>
      </c>
      <c r="O316" s="28">
        <f t="shared" si="183"/>
        <v>5.4635045486073024E-20</v>
      </c>
      <c r="P316" s="28">
        <f t="shared" si="183"/>
        <v>8.1834956853445804E-20</v>
      </c>
      <c r="Q316" s="28">
        <f t="shared" si="183"/>
        <v>8.7645948106533685E-20</v>
      </c>
      <c r="R316" s="28">
        <f t="shared" si="183"/>
        <v>1.390081225695799E-19</v>
      </c>
      <c r="S316" s="28">
        <f t="shared" si="183"/>
        <v>1.4861326925788613E-19</v>
      </c>
      <c r="T316" s="28">
        <f t="shared" si="183"/>
        <v>1.6603972230645455E-19</v>
      </c>
      <c r="U316" s="28">
        <f t="shared" si="183"/>
        <v>1.1781333585242634E-19</v>
      </c>
      <c r="V316" s="28">
        <f t="shared" si="183"/>
        <v>8.2828675379848462E-20</v>
      </c>
      <c r="W316" s="28">
        <f t="shared" si="183"/>
        <v>8.5188318496106451E-20</v>
      </c>
      <c r="X316" s="28">
        <f t="shared" si="183"/>
        <v>8.2415637414888459E-20</v>
      </c>
      <c r="Y316" s="28">
        <f t="shared" si="183"/>
        <v>1.1354170347989101E-19</v>
      </c>
      <c r="Z316" s="28">
        <f t="shared" si="183"/>
        <v>1.0731662596419786E-19</v>
      </c>
      <c r="AA316" s="28">
        <f t="shared" si="183"/>
        <v>2.5244591383212911E-19</v>
      </c>
      <c r="AB316" s="28">
        <f t="shared" si="183"/>
        <v>3.3310561545968852E-19</v>
      </c>
      <c r="AC316" s="28">
        <f t="shared" si="183"/>
        <v>2.1172211789335575E-19</v>
      </c>
      <c r="AD316" s="28">
        <f t="shared" si="183"/>
        <v>3.6804964589821992E-19</v>
      </c>
      <c r="AE316" s="28">
        <f t="shared" si="183"/>
        <v>3.2352269202690522E-19</v>
      </c>
      <c r="AF316" s="28">
        <f t="shared" si="183"/>
        <v>4.9742739808635217E-19</v>
      </c>
      <c r="AG316" s="28"/>
    </row>
    <row r="317" spans="1:33" x14ac:dyDescent="0.2">
      <c r="A317" s="198" t="s">
        <v>271</v>
      </c>
      <c r="B317" s="212"/>
      <c r="C317" s="79">
        <f>-C164*C172</f>
        <v>-6.7915089070843882E-15</v>
      </c>
      <c r="D317" s="79">
        <f t="shared" ref="D317:AF317" si="184">-D164*D172</f>
        <v>-5.9343281712387852E-15</v>
      </c>
      <c r="E317" s="79">
        <f t="shared" si="184"/>
        <v>-5.5387062931561996E-15</v>
      </c>
      <c r="F317" s="79">
        <f t="shared" si="184"/>
        <v>-6.3299500493213708E-15</v>
      </c>
      <c r="G317" s="79">
        <f t="shared" si="184"/>
        <v>-8.4399333990951616E-15</v>
      </c>
      <c r="H317" s="79">
        <f t="shared" si="184"/>
        <v>-6.7255719274039572E-15</v>
      </c>
      <c r="I317" s="79">
        <f t="shared" si="184"/>
        <v>-5.077147435393183E-15</v>
      </c>
      <c r="J317" s="79">
        <f t="shared" si="184"/>
        <v>-5.6705802525170618E-15</v>
      </c>
      <c r="K317" s="79">
        <f t="shared" si="184"/>
        <v>-2.4599735231673968E-14</v>
      </c>
      <c r="L317" s="79">
        <f t="shared" si="184"/>
        <v>-1.7890716532126519E-14</v>
      </c>
      <c r="M317" s="79">
        <f t="shared" si="184"/>
        <v>-1.4908930443438768E-14</v>
      </c>
      <c r="N317" s="79">
        <f t="shared" si="184"/>
        <v>-2.1804310773529201E-14</v>
      </c>
      <c r="O317" s="79">
        <f t="shared" si="184"/>
        <v>-9.877166418778184E-15</v>
      </c>
      <c r="P317" s="79">
        <f t="shared" si="184"/>
        <v>-1.4722568812895784E-14</v>
      </c>
      <c r="Q317" s="79">
        <f t="shared" si="184"/>
        <v>-1.7704354901583535E-14</v>
      </c>
      <c r="R317" s="79">
        <f t="shared" si="184"/>
        <v>-8.3505591622654436E-15</v>
      </c>
      <c r="S317" s="79">
        <f t="shared" si="184"/>
        <v>-8.6656746023509304E-15</v>
      </c>
      <c r="T317" s="79">
        <f t="shared" si="184"/>
        <v>-1.2447059883376794E-14</v>
      </c>
      <c r="U317" s="79">
        <f t="shared" si="184"/>
        <v>-1.1344155843077583E-14</v>
      </c>
      <c r="V317" s="79">
        <f t="shared" si="184"/>
        <v>-1.1186598123034839E-14</v>
      </c>
      <c r="W317" s="79">
        <f t="shared" si="184"/>
        <v>-1.6386002884445396E-14</v>
      </c>
      <c r="X317" s="79">
        <f t="shared" si="184"/>
        <v>-7.877886002137211E-15</v>
      </c>
      <c r="Y317" s="79">
        <f t="shared" si="184"/>
        <v>-6.4598665217525133E-15</v>
      </c>
      <c r="Z317" s="79">
        <f t="shared" si="184"/>
        <v>-1.3234848483590512E-14</v>
      </c>
      <c r="AA317" s="79">
        <f t="shared" si="184"/>
        <v>-8.5718073584560221E-15</v>
      </c>
      <c r="AB317" s="79">
        <f t="shared" si="184"/>
        <v>-9.0333662162190404E-15</v>
      </c>
      <c r="AC317" s="79">
        <f t="shared" si="184"/>
        <v>-9.0333662162190404E-15</v>
      </c>
      <c r="AD317" s="79">
        <f t="shared" si="184"/>
        <v>-8.9014922568581782E-15</v>
      </c>
      <c r="AE317" s="79">
        <f t="shared" si="184"/>
        <v>-5.9343281712387852E-15</v>
      </c>
      <c r="AF317" s="79">
        <f t="shared" si="184"/>
        <v>-1.0286168830147227E-14</v>
      </c>
      <c r="AG317" s="30"/>
    </row>
    <row r="318" spans="1:33" x14ac:dyDescent="0.2">
      <c r="A318" s="44" t="s">
        <v>479</v>
      </c>
      <c r="B318" s="64"/>
      <c r="C318" s="28">
        <f t="shared" ref="C318:AF318" si="185">C317*C260</f>
        <v>-6.761386621752164E-21</v>
      </c>
      <c r="D318" s="28">
        <f t="shared" si="185"/>
        <v>-5.9080077277446086E-21</v>
      </c>
      <c r="E318" s="28">
        <f t="shared" si="185"/>
        <v>-5.5141405458949686E-21</v>
      </c>
      <c r="F318" s="28">
        <f t="shared" si="185"/>
        <v>-6.3018749095942494E-21</v>
      </c>
      <c r="G318" s="28">
        <f t="shared" si="185"/>
        <v>-8.4024998794590002E-21</v>
      </c>
      <c r="H318" s="28">
        <f t="shared" si="185"/>
        <v>-6.6957420914438909E-21</v>
      </c>
      <c r="I318" s="28">
        <f t="shared" si="185"/>
        <v>-5.054628833737054E-21</v>
      </c>
      <c r="J318" s="28">
        <f t="shared" si="185"/>
        <v>-5.6454296065115155E-21</v>
      </c>
      <c r="K318" s="28">
        <f t="shared" si="185"/>
        <v>-7.7761079017356037E-21</v>
      </c>
      <c r="L318" s="28">
        <f t="shared" si="185"/>
        <v>-5.655351201262256E-21</v>
      </c>
      <c r="M318" s="28">
        <f t="shared" si="185"/>
        <v>-4.7127926677185468E-21</v>
      </c>
      <c r="N318" s="28">
        <f t="shared" si="185"/>
        <v>-6.8924592765383754E-21</v>
      </c>
      <c r="O318" s="28">
        <f t="shared" si="185"/>
        <v>-3.1222251423635378E-21</v>
      </c>
      <c r="P318" s="28">
        <f t="shared" si="185"/>
        <v>-4.6538827593720659E-21</v>
      </c>
      <c r="Q318" s="28">
        <f t="shared" si="185"/>
        <v>-5.5964412929157743E-21</v>
      </c>
      <c r="R318" s="28">
        <f t="shared" si="185"/>
        <v>0</v>
      </c>
      <c r="S318" s="28">
        <f t="shared" si="185"/>
        <v>0</v>
      </c>
      <c r="T318" s="28">
        <f t="shared" si="185"/>
        <v>0</v>
      </c>
      <c r="U318" s="28">
        <f t="shared" si="185"/>
        <v>0</v>
      </c>
      <c r="V318" s="28">
        <f t="shared" si="185"/>
        <v>0</v>
      </c>
      <c r="W318" s="28">
        <f t="shared" si="185"/>
        <v>0</v>
      </c>
      <c r="X318" s="28">
        <f t="shared" si="185"/>
        <v>0</v>
      </c>
      <c r="Y318" s="28">
        <f t="shared" si="185"/>
        <v>0</v>
      </c>
      <c r="Z318" s="28">
        <f t="shared" si="185"/>
        <v>0</v>
      </c>
      <c r="AA318" s="28">
        <f t="shared" si="185"/>
        <v>-8.5337889400755448E-21</v>
      </c>
      <c r="AB318" s="28">
        <f t="shared" si="185"/>
        <v>-8.9933006522334609E-21</v>
      </c>
      <c r="AC318" s="28">
        <f t="shared" si="185"/>
        <v>-8.9933006522334609E-21</v>
      </c>
      <c r="AD318" s="28">
        <f t="shared" si="185"/>
        <v>-8.8620115916169133E-21</v>
      </c>
      <c r="AE318" s="28">
        <f t="shared" si="185"/>
        <v>-5.9080077277446086E-21</v>
      </c>
      <c r="AF318" s="28">
        <f t="shared" si="185"/>
        <v>-1.0240546728090654E-20</v>
      </c>
      <c r="AG318" s="28"/>
    </row>
    <row r="319" spans="1:33" x14ac:dyDescent="0.2">
      <c r="A319" s="198" t="s">
        <v>272</v>
      </c>
      <c r="B319" s="212"/>
      <c r="C319" s="79">
        <f>-C154*C172</f>
        <v>-4.34358659066644E-16</v>
      </c>
      <c r="D319" s="79">
        <f t="shared" ref="D319:AF319" si="186">-D154*D172</f>
        <v>-3.7953669238832964E-16</v>
      </c>
      <c r="E319" s="79">
        <f t="shared" si="186"/>
        <v>-3.5423424622910767E-16</v>
      </c>
      <c r="F319" s="79">
        <f t="shared" si="186"/>
        <v>-4.0483913854755161E-16</v>
      </c>
      <c r="G319" s="79">
        <f t="shared" si="186"/>
        <v>-5.3978551806340225E-16</v>
      </c>
      <c r="H319" s="79">
        <f t="shared" si="186"/>
        <v>-4.3014158470677363E-16</v>
      </c>
      <c r="I319" s="79">
        <f t="shared" si="186"/>
        <v>-3.2471472571001538E-16</v>
      </c>
      <c r="J319" s="79">
        <f t="shared" si="186"/>
        <v>-3.6266839494884836E-16</v>
      </c>
      <c r="K319" s="79">
        <f t="shared" si="186"/>
        <v>-6.2970138811020576E-17</v>
      </c>
      <c r="L319" s="79">
        <f t="shared" si="186"/>
        <v>-4.5796464589833142E-17</v>
      </c>
      <c r="M319" s="79">
        <f t="shared" si="186"/>
        <v>-3.8163720491527621E-17</v>
      </c>
      <c r="N319" s="79">
        <f t="shared" si="186"/>
        <v>-5.5814441218859152E-17</v>
      </c>
      <c r="O319" s="79">
        <f t="shared" si="186"/>
        <v>-2.5283464825637051E-17</v>
      </c>
      <c r="P319" s="79">
        <f t="shared" si="186"/>
        <v>-3.7686673985383525E-17</v>
      </c>
      <c r="Q319" s="79">
        <f t="shared" si="186"/>
        <v>-4.5319418083689051E-17</v>
      </c>
      <c r="R319" s="79">
        <f t="shared" si="186"/>
        <v>-3.951100444004251E-17</v>
      </c>
      <c r="S319" s="79">
        <f t="shared" si="186"/>
        <v>-4.1001985739666751E-17</v>
      </c>
      <c r="T319" s="79">
        <f t="shared" si="186"/>
        <v>-5.8893761335157702E-17</v>
      </c>
      <c r="U319" s="79">
        <f t="shared" si="186"/>
        <v>-5.3675326786472841E-17</v>
      </c>
      <c r="V319" s="79">
        <f t="shared" si="186"/>
        <v>-5.292983613666072E-17</v>
      </c>
      <c r="W319" s="79">
        <f t="shared" si="186"/>
        <v>-7.7531027580460767E-17</v>
      </c>
      <c r="X319" s="79">
        <f t="shared" si="186"/>
        <v>-3.7274532490606143E-17</v>
      </c>
      <c r="Y319" s="79">
        <f t="shared" si="186"/>
        <v>-3.0565116642297035E-17</v>
      </c>
      <c r="Z319" s="79">
        <f t="shared" si="186"/>
        <v>-6.262121458421831E-17</v>
      </c>
      <c r="AA319" s="79">
        <f t="shared" si="186"/>
        <v>-5.4821966678314279E-16</v>
      </c>
      <c r="AB319" s="79">
        <f t="shared" si="186"/>
        <v>-5.7773918730223518E-16</v>
      </c>
      <c r="AC319" s="79">
        <f t="shared" si="186"/>
        <v>-5.7773918730223518E-16</v>
      </c>
      <c r="AD319" s="79">
        <f t="shared" si="186"/>
        <v>-5.6930503858249444E-16</v>
      </c>
      <c r="AE319" s="79">
        <f t="shared" si="186"/>
        <v>-3.7953669238832964E-16</v>
      </c>
      <c r="AF319" s="79">
        <f t="shared" si="186"/>
        <v>-6.5786360013977141E-16</v>
      </c>
      <c r="AG319" s="30"/>
    </row>
    <row r="320" spans="1:33" x14ac:dyDescent="0.2">
      <c r="A320" s="44" t="s">
        <v>479</v>
      </c>
      <c r="B320" s="64"/>
      <c r="C320" s="28">
        <f t="shared" ref="C320:AF320" si="187">C319*C266</f>
        <v>-1.7179619490350511E-20</v>
      </c>
      <c r="D320" s="28">
        <f t="shared" si="187"/>
        <v>-1.5011318001277141E-20</v>
      </c>
      <c r="E320" s="28">
        <f t="shared" si="187"/>
        <v>-1.4010563467858667E-20</v>
      </c>
      <c r="F320" s="28">
        <f t="shared" si="187"/>
        <v>-1.6012072534695619E-20</v>
      </c>
      <c r="G320" s="28">
        <f t="shared" si="187"/>
        <v>-2.1349430046260828E-20</v>
      </c>
      <c r="H320" s="28">
        <f t="shared" si="187"/>
        <v>-1.7012827068114097E-20</v>
      </c>
      <c r="I320" s="28">
        <f t="shared" si="187"/>
        <v>-1.2843016512203779E-20</v>
      </c>
      <c r="J320" s="28">
        <f t="shared" si="187"/>
        <v>-1.4344148312331495E-20</v>
      </c>
      <c r="K320" s="28">
        <f t="shared" si="187"/>
        <v>-1.4832785571212607E-20</v>
      </c>
      <c r="L320" s="28">
        <f t="shared" si="187"/>
        <v>-1.078748041542735E-20</v>
      </c>
      <c r="M320" s="28">
        <f t="shared" si="187"/>
        <v>-8.9895670128561249E-21</v>
      </c>
      <c r="N320" s="28">
        <f t="shared" si="187"/>
        <v>-1.3147241756302085E-20</v>
      </c>
      <c r="O320" s="28">
        <f t="shared" si="187"/>
        <v>-5.9555881460171837E-21</v>
      </c>
      <c r="P320" s="28">
        <f t="shared" si="187"/>
        <v>-8.8771974251954232E-21</v>
      </c>
      <c r="Q320" s="28">
        <f t="shared" si="187"/>
        <v>-1.067511082776665E-20</v>
      </c>
      <c r="R320" s="28">
        <f t="shared" si="187"/>
        <v>-7.8684524418586661E-21</v>
      </c>
      <c r="S320" s="28">
        <f t="shared" si="187"/>
        <v>-8.1653751755137082E-21</v>
      </c>
      <c r="T320" s="28">
        <f t="shared" si="187"/>
        <v>-1.1728447979374237E-20</v>
      </c>
      <c r="U320" s="28">
        <f t="shared" si="187"/>
        <v>-1.0689218411581583E-20</v>
      </c>
      <c r="V320" s="28">
        <f t="shared" si="187"/>
        <v>-1.0540757044754062E-20</v>
      </c>
      <c r="W320" s="28">
        <f t="shared" si="187"/>
        <v>-1.5439982150062286E-20</v>
      </c>
      <c r="X320" s="28">
        <f t="shared" si="187"/>
        <v>-7.4230683413761007E-21</v>
      </c>
      <c r="Y320" s="28">
        <f t="shared" si="187"/>
        <v>-6.0869160399284014E-21</v>
      </c>
      <c r="Z320" s="28">
        <f t="shared" si="187"/>
        <v>-1.2470754813511846E-20</v>
      </c>
      <c r="AA320" s="28">
        <f t="shared" si="187"/>
        <v>-2.168301489073365E-20</v>
      </c>
      <c r="AB320" s="28">
        <f t="shared" si="187"/>
        <v>-2.2850561846388542E-20</v>
      </c>
      <c r="AC320" s="28">
        <f t="shared" si="187"/>
        <v>-2.2850561846388542E-20</v>
      </c>
      <c r="AD320" s="28">
        <f t="shared" si="187"/>
        <v>-2.2516977001915714E-20</v>
      </c>
      <c r="AE320" s="28">
        <f t="shared" si="187"/>
        <v>-1.5011318001277141E-20</v>
      </c>
      <c r="AF320" s="28">
        <f t="shared" si="187"/>
        <v>-2.6019617868880383E-20</v>
      </c>
      <c r="AG320" s="28"/>
    </row>
    <row r="321" spans="1:33" x14ac:dyDescent="0.2">
      <c r="A321" s="198" t="s">
        <v>273</v>
      </c>
      <c r="B321" s="212"/>
      <c r="C321" s="79">
        <f>-C14*C12*C172</f>
        <v>-4.1967689830140829E-16</v>
      </c>
      <c r="D321" s="79">
        <f t="shared" ref="D321:AF321" si="188">-D14*D12*D172</f>
        <v>-3.0142160624071686E-16</v>
      </c>
      <c r="E321" s="79">
        <f t="shared" si="188"/>
        <v>-4.5032950781907881E-16</v>
      </c>
      <c r="F321" s="79">
        <f t="shared" si="188"/>
        <v>-1.3535697906546166E-15</v>
      </c>
      <c r="G321" s="79">
        <f t="shared" si="188"/>
        <v>-1.2267627928449877E-15</v>
      </c>
      <c r="H321" s="79">
        <f t="shared" si="188"/>
        <v>-6.0416899014998819E-16</v>
      </c>
      <c r="I321" s="79">
        <f t="shared" si="188"/>
        <v>-4.8770893575965312E-16</v>
      </c>
      <c r="J321" s="79">
        <f t="shared" si="188"/>
        <v>-4.8472363632985486E-16</v>
      </c>
      <c r="K321" s="79">
        <f t="shared" si="188"/>
        <v>-3.4202885810200386E-17</v>
      </c>
      <c r="L321" s="79">
        <f t="shared" si="188"/>
        <v>-3.5788310036864297E-17</v>
      </c>
      <c r="M321" s="79">
        <f t="shared" si="188"/>
        <v>-3.3828764670822254E-17</v>
      </c>
      <c r="N321" s="79">
        <f t="shared" si="188"/>
        <v>-4.1792482325008027E-17</v>
      </c>
      <c r="O321" s="79">
        <f t="shared" si="188"/>
        <v>-2.7636625175339773E-17</v>
      </c>
      <c r="P321" s="79">
        <f t="shared" si="188"/>
        <v>-2.8613612620510164E-17</v>
      </c>
      <c r="Q321" s="79">
        <f t="shared" si="188"/>
        <v>-2.5201261325157872E-17</v>
      </c>
      <c r="R321" s="79">
        <f t="shared" si="188"/>
        <v>-3.8530655216958202E-17</v>
      </c>
      <c r="S321" s="79">
        <f t="shared" si="188"/>
        <v>-4.0627897059538364E-17</v>
      </c>
      <c r="T321" s="79">
        <f t="shared" si="188"/>
        <v>-4.9431824813805476E-17</v>
      </c>
      <c r="U321" s="79">
        <f t="shared" si="188"/>
        <v>-5.0983213585831709E-17</v>
      </c>
      <c r="V321" s="79">
        <f t="shared" si="188"/>
        <v>-3.0996677239486512E-17</v>
      </c>
      <c r="W321" s="79">
        <f t="shared" si="188"/>
        <v>-4.2409185681436108E-17</v>
      </c>
      <c r="X321" s="79">
        <f t="shared" si="188"/>
        <v>-3.4726150397953631E-17</v>
      </c>
      <c r="Y321" s="79">
        <f t="shared" si="188"/>
        <v>-4.2428309146250068E-17</v>
      </c>
      <c r="Z321" s="79">
        <f t="shared" si="188"/>
        <v>-4.4080114458403284E-17</v>
      </c>
      <c r="AA321" s="79">
        <f t="shared" si="188"/>
        <v>-1.3012053101855875E-16</v>
      </c>
      <c r="AB321" s="79">
        <f t="shared" si="188"/>
        <v>-1.2146092234511117E-16</v>
      </c>
      <c r="AC321" s="79">
        <f t="shared" si="188"/>
        <v>-8.641225991946362E-17</v>
      </c>
      <c r="AD321" s="79">
        <f t="shared" si="188"/>
        <v>-2.5131415987775306E-16</v>
      </c>
      <c r="AE321" s="79">
        <f t="shared" si="188"/>
        <v>-2.1930109923639653E-16</v>
      </c>
      <c r="AF321" s="79">
        <f t="shared" si="188"/>
        <v>-3.500378620683085E-16</v>
      </c>
      <c r="AG321" s="30"/>
    </row>
    <row r="322" spans="1:33" x14ac:dyDescent="0.2">
      <c r="A322" s="44" t="s">
        <v>479</v>
      </c>
      <c r="B322" s="64"/>
      <c r="C322" s="28">
        <f t="shared" ref="C322:AF322" si="189">C321*C280</f>
        <v>-1.2590306949042248E-19</v>
      </c>
      <c r="D322" s="28">
        <f t="shared" si="189"/>
        <v>-9.0426481872215051E-20</v>
      </c>
      <c r="E322" s="28">
        <f t="shared" si="189"/>
        <v>-1.3509885234572364E-19</v>
      </c>
      <c r="F322" s="28">
        <f t="shared" si="189"/>
        <v>-4.0607093719638493E-19</v>
      </c>
      <c r="G322" s="28">
        <f t="shared" si="189"/>
        <v>-3.6802883785349629E-19</v>
      </c>
      <c r="H322" s="28">
        <f t="shared" si="189"/>
        <v>-1.8125069704499643E-19</v>
      </c>
      <c r="I322" s="28">
        <f t="shared" si="189"/>
        <v>-1.4631268072789593E-19</v>
      </c>
      <c r="J322" s="28">
        <f t="shared" si="189"/>
        <v>-1.4541709089895644E-19</v>
      </c>
      <c r="K322" s="28">
        <f t="shared" si="189"/>
        <v>-1.0260865743060115E-20</v>
      </c>
      <c r="L322" s="28">
        <f t="shared" si="189"/>
        <v>-1.0736493011059288E-20</v>
      </c>
      <c r="M322" s="28">
        <f t="shared" si="189"/>
        <v>-1.0148629401246676E-20</v>
      </c>
      <c r="N322" s="28">
        <f t="shared" si="189"/>
        <v>-1.2537744697502406E-20</v>
      </c>
      <c r="O322" s="28">
        <f t="shared" si="189"/>
        <v>-8.2909875526019314E-21</v>
      </c>
      <c r="P322" s="28">
        <f t="shared" si="189"/>
        <v>-8.5840837861530492E-21</v>
      </c>
      <c r="Q322" s="28">
        <f t="shared" si="189"/>
        <v>-7.5603783975473606E-21</v>
      </c>
      <c r="R322" s="28">
        <f t="shared" si="189"/>
        <v>-3.9719264117372211E-21</v>
      </c>
      <c r="S322" s="28">
        <f t="shared" si="189"/>
        <v>-4.0177364458747191E-21</v>
      </c>
      <c r="T322" s="28">
        <f t="shared" si="189"/>
        <v>-4.7252516965089363E-21</v>
      </c>
      <c r="U322" s="28">
        <f t="shared" si="189"/>
        <v>-5.3225810559735169E-21</v>
      </c>
      <c r="V322" s="28">
        <f t="shared" si="189"/>
        <v>-3.419796608934548E-21</v>
      </c>
      <c r="W322" s="28">
        <f t="shared" si="189"/>
        <v>-3.9570007081275664E-21</v>
      </c>
      <c r="X322" s="28">
        <f t="shared" si="189"/>
        <v>-3.3935251983210467E-21</v>
      </c>
      <c r="Y322" s="28">
        <f t="shared" si="189"/>
        <v>-4.6438533394881988E-21</v>
      </c>
      <c r="Z322" s="28">
        <f t="shared" si="189"/>
        <v>-4.4339162954895309E-21</v>
      </c>
      <c r="AA322" s="28">
        <f t="shared" si="189"/>
        <v>-2.6024106203711749E-20</v>
      </c>
      <c r="AB322" s="28">
        <f t="shared" si="189"/>
        <v>-2.4292184469022233E-20</v>
      </c>
      <c r="AC322" s="28">
        <f t="shared" si="189"/>
        <v>-1.7282451983892723E-20</v>
      </c>
      <c r="AD322" s="28">
        <f t="shared" si="189"/>
        <v>-5.0262831975550615E-20</v>
      </c>
      <c r="AE322" s="28">
        <f t="shared" si="189"/>
        <v>-4.3860219847279308E-20</v>
      </c>
      <c r="AF322" s="28">
        <f t="shared" si="189"/>
        <v>-7.0007572413661704E-20</v>
      </c>
      <c r="AG322" s="28"/>
    </row>
    <row r="323" spans="1:33" x14ac:dyDescent="0.2">
      <c r="A323" s="198" t="s">
        <v>274</v>
      </c>
      <c r="B323" s="212"/>
      <c r="C323" s="79">
        <f>-1/C198</f>
        <v>-5.5425629901276183E-2</v>
      </c>
      <c r="D323" s="79">
        <f t="shared" ref="D323:AF323" si="190">-1/D198</f>
        <v>-5.5425629901276183E-2</v>
      </c>
      <c r="E323" s="79">
        <f t="shared" si="190"/>
        <v>-5.5425629901276183E-2</v>
      </c>
      <c r="F323" s="79">
        <f t="shared" si="190"/>
        <v>-5.5425629901276183E-2</v>
      </c>
      <c r="G323" s="79">
        <f t="shared" si="190"/>
        <v>-5.5425629901276183E-2</v>
      </c>
      <c r="H323" s="79">
        <f t="shared" si="190"/>
        <v>-5.5425629901276183E-2</v>
      </c>
      <c r="I323" s="79">
        <f t="shared" si="190"/>
        <v>-5.5425629901276183E-2</v>
      </c>
      <c r="J323" s="79">
        <f t="shared" si="190"/>
        <v>-5.5425629901276183E-2</v>
      </c>
      <c r="K323" s="79">
        <f t="shared" si="190"/>
        <v>-5.5425629901276183E-2</v>
      </c>
      <c r="L323" s="79">
        <f t="shared" si="190"/>
        <v>-5.5425629901276183E-2</v>
      </c>
      <c r="M323" s="79">
        <f t="shared" si="190"/>
        <v>-5.5425629901276183E-2</v>
      </c>
      <c r="N323" s="79">
        <f t="shared" si="190"/>
        <v>-5.5425629901276183E-2</v>
      </c>
      <c r="O323" s="79">
        <f t="shared" si="190"/>
        <v>-5.5425629901276183E-2</v>
      </c>
      <c r="P323" s="79">
        <f t="shared" si="190"/>
        <v>-5.5425629901276183E-2</v>
      </c>
      <c r="Q323" s="79">
        <f t="shared" si="190"/>
        <v>-5.5425629901276183E-2</v>
      </c>
      <c r="R323" s="79">
        <f t="shared" si="190"/>
        <v>-5.5425629901276183E-2</v>
      </c>
      <c r="S323" s="79">
        <f t="shared" si="190"/>
        <v>-5.5425629901276183E-2</v>
      </c>
      <c r="T323" s="79">
        <f t="shared" si="190"/>
        <v>-5.5425629901276183E-2</v>
      </c>
      <c r="U323" s="79">
        <f t="shared" si="190"/>
        <v>-5.5425629901276183E-2</v>
      </c>
      <c r="V323" s="79">
        <f t="shared" si="190"/>
        <v>-5.5425629901276183E-2</v>
      </c>
      <c r="W323" s="79">
        <f t="shared" si="190"/>
        <v>-5.5425629901276183E-2</v>
      </c>
      <c r="X323" s="79">
        <f t="shared" si="190"/>
        <v>-5.5425629901276183E-2</v>
      </c>
      <c r="Y323" s="79">
        <f t="shared" si="190"/>
        <v>-5.5425629901276183E-2</v>
      </c>
      <c r="Z323" s="79">
        <f t="shared" si="190"/>
        <v>-5.5425629901276183E-2</v>
      </c>
      <c r="AA323" s="79">
        <f t="shared" si="190"/>
        <v>-5.5425629901276183E-2</v>
      </c>
      <c r="AB323" s="79">
        <f t="shared" si="190"/>
        <v>-5.5425629901276183E-2</v>
      </c>
      <c r="AC323" s="79">
        <f t="shared" si="190"/>
        <v>-5.5425629901276183E-2</v>
      </c>
      <c r="AD323" s="79">
        <f t="shared" si="190"/>
        <v>-5.5425629901276183E-2</v>
      </c>
      <c r="AE323" s="79">
        <f t="shared" si="190"/>
        <v>-5.5425629901276183E-2</v>
      </c>
      <c r="AF323" s="79">
        <f t="shared" si="190"/>
        <v>-5.5425629901276183E-2</v>
      </c>
      <c r="AG323" s="30"/>
    </row>
    <row r="324" spans="1:33" x14ac:dyDescent="0.2">
      <c r="A324" s="44" t="s">
        <v>479</v>
      </c>
      <c r="B324" s="64"/>
      <c r="C324" s="28">
        <f t="shared" ref="C324:AF324" si="191">C323*C278</f>
        <v>-8.3478691022999581E-18</v>
      </c>
      <c r="D324" s="28">
        <f t="shared" si="191"/>
        <v>-8.3478691022999581E-18</v>
      </c>
      <c r="E324" s="28">
        <f t="shared" si="191"/>
        <v>-8.3478691022999581E-18</v>
      </c>
      <c r="F324" s="28">
        <f t="shared" si="191"/>
        <v>-8.3478691022999581E-18</v>
      </c>
      <c r="G324" s="28">
        <f t="shared" si="191"/>
        <v>-8.3478691022999581E-18</v>
      </c>
      <c r="H324" s="28">
        <f t="shared" si="191"/>
        <v>-8.3478691022999581E-18</v>
      </c>
      <c r="I324" s="28">
        <f t="shared" si="191"/>
        <v>-8.3478691022999581E-18</v>
      </c>
      <c r="J324" s="28">
        <f t="shared" si="191"/>
        <v>-8.3478691022999581E-18</v>
      </c>
      <c r="K324" s="28">
        <f t="shared" si="191"/>
        <v>-5.5964029029890781E-18</v>
      </c>
      <c r="L324" s="28">
        <f t="shared" si="191"/>
        <v>-6.7941168068471933E-18</v>
      </c>
      <c r="M324" s="28">
        <f t="shared" si="191"/>
        <v>-6.661455179875455E-18</v>
      </c>
      <c r="N324" s="28">
        <f t="shared" si="191"/>
        <v>-7.8249295334529017E-18</v>
      </c>
      <c r="O324" s="28">
        <f t="shared" si="191"/>
        <v>-5.7173911744651286E-18</v>
      </c>
      <c r="P324" s="28">
        <f t="shared" si="191"/>
        <v>-5.3820307841420783E-18</v>
      </c>
      <c r="Q324" s="28">
        <f t="shared" si="191"/>
        <v>-4.1738670044297911E-18</v>
      </c>
      <c r="R324" s="28">
        <f t="shared" si="191"/>
        <v>-8.0549905909327992E-18</v>
      </c>
      <c r="S324" s="28">
        <f t="shared" si="191"/>
        <v>-8.3478691022999581E-18</v>
      </c>
      <c r="T324" s="28">
        <f t="shared" si="191"/>
        <v>-8.3478691022999581E-18</v>
      </c>
      <c r="U324" s="28">
        <f t="shared" si="191"/>
        <v>-8.3478691022999581E-18</v>
      </c>
      <c r="V324" s="28">
        <f t="shared" si="191"/>
        <v>-5.6471888596132574E-18</v>
      </c>
      <c r="W324" s="28">
        <f t="shared" si="191"/>
        <v>-7.52823178035541E-18</v>
      </c>
      <c r="X324" s="28">
        <f t="shared" si="191"/>
        <v>-7.2020727910742295E-18</v>
      </c>
      <c r="Y324" s="28">
        <f t="shared" si="191"/>
        <v>-8.3478691022999581E-18</v>
      </c>
      <c r="Z324" s="28">
        <f t="shared" si="191"/>
        <v>-8.3478691022999581E-18</v>
      </c>
      <c r="AA324" s="28">
        <f t="shared" si="191"/>
        <v>-8.3478691022999581E-18</v>
      </c>
      <c r="AB324" s="28">
        <f t="shared" si="191"/>
        <v>-8.3478691022999581E-18</v>
      </c>
      <c r="AC324" s="28">
        <f t="shared" si="191"/>
        <v>-8.3478691022999581E-18</v>
      </c>
      <c r="AD324" s="28">
        <f t="shared" si="191"/>
        <v>-8.3478691022999581E-18</v>
      </c>
      <c r="AE324" s="28">
        <f t="shared" si="191"/>
        <v>-8.3478691022999581E-18</v>
      </c>
      <c r="AF324" s="28">
        <f t="shared" si="191"/>
        <v>-8.3478691022999581E-18</v>
      </c>
      <c r="AG324" s="28"/>
    </row>
    <row r="325" spans="1:33" x14ac:dyDescent="0.2">
      <c r="A325" s="198" t="s">
        <v>275</v>
      </c>
      <c r="B325" s="212"/>
      <c r="C325" s="79">
        <f>C230/(C198^2)</f>
        <v>1.8507436133135043E-18</v>
      </c>
      <c r="D325" s="79">
        <f t="shared" ref="D325:AF325" si="192">D230/(D198^2)</f>
        <v>1.8507436133135043E-18</v>
      </c>
      <c r="E325" s="79">
        <f t="shared" si="192"/>
        <v>1.8507436133135043E-18</v>
      </c>
      <c r="F325" s="79">
        <f t="shared" si="192"/>
        <v>1.8507436133135043E-18</v>
      </c>
      <c r="G325" s="79">
        <f t="shared" si="192"/>
        <v>1.8507436133135043E-18</v>
      </c>
      <c r="H325" s="79">
        <f t="shared" si="192"/>
        <v>1.8507436133135043E-18</v>
      </c>
      <c r="I325" s="79">
        <f t="shared" si="192"/>
        <v>1.8507436133135043E-18</v>
      </c>
      <c r="J325" s="79">
        <f t="shared" si="192"/>
        <v>1.8507436133135043E-18</v>
      </c>
      <c r="K325" s="79">
        <f t="shared" si="192"/>
        <v>1.2407366243180012E-18</v>
      </c>
      <c r="L325" s="79">
        <f t="shared" si="192"/>
        <v>1.5062728145694113E-18</v>
      </c>
      <c r="M325" s="79">
        <f t="shared" si="192"/>
        <v>1.4768613976148643E-18</v>
      </c>
      <c r="N325" s="79">
        <f t="shared" si="192"/>
        <v>1.7348065932989045E-18</v>
      </c>
      <c r="O325" s="79">
        <f t="shared" si="192"/>
        <v>1.2675600289469077E-18</v>
      </c>
      <c r="P325" s="79">
        <f t="shared" si="192"/>
        <v>1.1932097854365363E-18</v>
      </c>
      <c r="Q325" s="79">
        <f t="shared" si="192"/>
        <v>9.2535683137869534E-19</v>
      </c>
      <c r="R325" s="79">
        <f t="shared" si="192"/>
        <v>1.785811709405213E-18</v>
      </c>
      <c r="S325" s="79">
        <f t="shared" si="192"/>
        <v>1.8507436133135043E-18</v>
      </c>
      <c r="T325" s="79">
        <f t="shared" si="192"/>
        <v>1.8507436133135043E-18</v>
      </c>
      <c r="U325" s="79">
        <f t="shared" si="192"/>
        <v>1.8507436133135043E-18</v>
      </c>
      <c r="V325" s="79">
        <f t="shared" si="192"/>
        <v>1.2519959988621371E-18</v>
      </c>
      <c r="W325" s="79">
        <f t="shared" si="192"/>
        <v>1.6690279538760175E-18</v>
      </c>
      <c r="X325" s="79">
        <f t="shared" si="192"/>
        <v>1.5967176841605256E-18</v>
      </c>
      <c r="Y325" s="79">
        <f t="shared" si="192"/>
        <v>1.8507436133135043E-18</v>
      </c>
      <c r="Z325" s="79">
        <f t="shared" si="192"/>
        <v>1.8507436133135043E-18</v>
      </c>
      <c r="AA325" s="79">
        <f t="shared" si="192"/>
        <v>1.8507436133135043E-18</v>
      </c>
      <c r="AB325" s="79">
        <f t="shared" si="192"/>
        <v>1.8507436133135043E-18</v>
      </c>
      <c r="AC325" s="79">
        <f t="shared" si="192"/>
        <v>1.8507436133135043E-18</v>
      </c>
      <c r="AD325" s="79">
        <f t="shared" si="192"/>
        <v>1.8507436133135043E-18</v>
      </c>
      <c r="AE325" s="79">
        <f t="shared" si="192"/>
        <v>1.8507436133135043E-18</v>
      </c>
      <c r="AF325" s="79">
        <f t="shared" si="192"/>
        <v>1.8507436133135043E-18</v>
      </c>
      <c r="AG325" s="30"/>
    </row>
    <row r="326" spans="1:33" x14ac:dyDescent="0.2">
      <c r="A326" s="44" t="s">
        <v>479</v>
      </c>
      <c r="B326" s="64"/>
      <c r="C326" s="28">
        <f t="shared" ref="C326:AF326" si="193">C325*C273</f>
        <v>2.0273280215140465E-19</v>
      </c>
      <c r="D326" s="28">
        <f t="shared" si="193"/>
        <v>2.0273280215140465E-19</v>
      </c>
      <c r="E326" s="28">
        <f t="shared" si="193"/>
        <v>2.0273280215140465E-19</v>
      </c>
      <c r="F326" s="28">
        <f t="shared" si="193"/>
        <v>2.0273280215140465E-19</v>
      </c>
      <c r="G326" s="28">
        <f t="shared" si="193"/>
        <v>2.0273280215140465E-19</v>
      </c>
      <c r="H326" s="28">
        <f t="shared" si="193"/>
        <v>2.0273280215140465E-19</v>
      </c>
      <c r="I326" s="28">
        <f t="shared" si="193"/>
        <v>2.0273280215140465E-19</v>
      </c>
      <c r="J326" s="28">
        <f t="shared" si="193"/>
        <v>2.0273280215140465E-19</v>
      </c>
      <c r="K326" s="28">
        <f t="shared" si="193"/>
        <v>1.3591186308595088E-19</v>
      </c>
      <c r="L326" s="28">
        <f t="shared" si="193"/>
        <v>1.6499903406686076E-19</v>
      </c>
      <c r="M326" s="28">
        <f t="shared" si="193"/>
        <v>1.6177727015988539E-19</v>
      </c>
      <c r="N326" s="28">
        <f t="shared" si="193"/>
        <v>1.9003291397047926E-19</v>
      </c>
      <c r="O326" s="28">
        <f t="shared" si="193"/>
        <v>1.3885013284116738E-19</v>
      </c>
      <c r="P326" s="28">
        <f t="shared" si="193"/>
        <v>1.307057128906858E-19</v>
      </c>
      <c r="Q326" s="28">
        <f t="shared" si="193"/>
        <v>1.0136476066475528E-19</v>
      </c>
      <c r="R326" s="28">
        <f t="shared" si="193"/>
        <v>1.9562007906342079E-19</v>
      </c>
      <c r="S326" s="28">
        <f t="shared" si="193"/>
        <v>2.0273280215140465E-19</v>
      </c>
      <c r="T326" s="28">
        <f t="shared" si="193"/>
        <v>2.0273280215140465E-19</v>
      </c>
      <c r="U326" s="28">
        <f t="shared" si="193"/>
        <v>2.0273280215140465E-19</v>
      </c>
      <c r="V326" s="28">
        <f t="shared" si="193"/>
        <v>1.3714522925043981E-19</v>
      </c>
      <c r="W326" s="28">
        <f t="shared" si="193"/>
        <v>1.8282743840056315E-19</v>
      </c>
      <c r="X326" s="28">
        <f t="shared" si="193"/>
        <v>1.749064797662662E-19</v>
      </c>
      <c r="Y326" s="28">
        <f t="shared" si="193"/>
        <v>2.0273280215140465E-19</v>
      </c>
      <c r="Z326" s="28">
        <f t="shared" si="193"/>
        <v>2.0273280215140465E-19</v>
      </c>
      <c r="AA326" s="28">
        <f t="shared" si="193"/>
        <v>2.0273280215140465E-19</v>
      </c>
      <c r="AB326" s="28">
        <f t="shared" si="193"/>
        <v>2.0273280215140465E-19</v>
      </c>
      <c r="AC326" s="28">
        <f t="shared" si="193"/>
        <v>2.0273280215140465E-19</v>
      </c>
      <c r="AD326" s="28">
        <f t="shared" si="193"/>
        <v>2.0273280215140465E-19</v>
      </c>
      <c r="AE326" s="28">
        <f t="shared" si="193"/>
        <v>2.0273280215140465E-19</v>
      </c>
      <c r="AF326" s="28">
        <f t="shared" si="193"/>
        <v>2.0273280215140465E-19</v>
      </c>
      <c r="AG326" s="28"/>
    </row>
    <row r="327" spans="1:33" s="15" customFormat="1" x14ac:dyDescent="0.2">
      <c r="A327" s="44" t="s">
        <v>172</v>
      </c>
      <c r="B327" s="212"/>
      <c r="C327" s="79">
        <f>(C12*C14*((C251/C18)^2-(C248/C12)^2-(C249/C14)^2))/2</f>
        <v>-8.6418598344564099E-12</v>
      </c>
      <c r="D327" s="79">
        <f t="shared" ref="D327:AF327" si="194">(D12*D14*((D251/D18)^2-(D248/D12)^2-(D249/D14)^2))/2</f>
        <v>-5.7860877557837994E-10</v>
      </c>
      <c r="E327" s="79">
        <f t="shared" si="194"/>
        <v>-1.2930953649002157E-10</v>
      </c>
      <c r="F327" s="79">
        <f t="shared" si="194"/>
        <v>-4.2949354208940165E-10</v>
      </c>
      <c r="G327" s="79">
        <f t="shared" si="194"/>
        <v>-8.0641211712504046E-10</v>
      </c>
      <c r="H327" s="79">
        <f t="shared" si="194"/>
        <v>-3.2895201734502185E-10</v>
      </c>
      <c r="I327" s="79">
        <f t="shared" si="194"/>
        <v>-3.2124554471757982E-10</v>
      </c>
      <c r="J327" s="79">
        <f t="shared" si="194"/>
        <v>-2.4315185339006217E-10</v>
      </c>
      <c r="K327" s="79">
        <f t="shared" si="194"/>
        <v>2.2285644094251493E-11</v>
      </c>
      <c r="L327" s="79">
        <f t="shared" si="194"/>
        <v>-5.3824577883796286E-11</v>
      </c>
      <c r="M327" s="79">
        <f t="shared" si="194"/>
        <v>-5.3532773909589734E-11</v>
      </c>
      <c r="N327" s="79">
        <f t="shared" si="194"/>
        <v>-2.0673085427219799E-11</v>
      </c>
      <c r="O327" s="79">
        <f t="shared" si="194"/>
        <v>1.0175319933158647E-11</v>
      </c>
      <c r="P327" s="79">
        <f t="shared" si="194"/>
        <v>-4.6309063422651968E-11</v>
      </c>
      <c r="Q327" s="79">
        <f t="shared" si="194"/>
        <v>-2.7666788637467557E-11</v>
      </c>
      <c r="R327" s="79">
        <f t="shared" si="194"/>
        <v>-5.5095409521480794E-11</v>
      </c>
      <c r="S327" s="79">
        <f t="shared" si="194"/>
        <v>-1.28067675676744E-10</v>
      </c>
      <c r="T327" s="79">
        <f t="shared" si="194"/>
        <v>-3.2599203723107399E-11</v>
      </c>
      <c r="U327" s="79">
        <f t="shared" si="194"/>
        <v>5.5910237093167427E-12</v>
      </c>
      <c r="V327" s="79">
        <f t="shared" si="194"/>
        <v>-8.333154875251054E-11</v>
      </c>
      <c r="W327" s="79">
        <f t="shared" si="194"/>
        <v>-1.2943300989827256E-10</v>
      </c>
      <c r="X327" s="79">
        <f t="shared" si="194"/>
        <v>-1.5942188880624414E-10</v>
      </c>
      <c r="Y327" s="79">
        <f t="shared" si="194"/>
        <v>-3.6144638695715789E-11</v>
      </c>
      <c r="Z327" s="79">
        <f t="shared" si="194"/>
        <v>-7.1985955705968202E-11</v>
      </c>
      <c r="AA327" s="79">
        <f t="shared" si="194"/>
        <v>-3.4752887428214467E-11</v>
      </c>
      <c r="AB327" s="79">
        <f t="shared" si="194"/>
        <v>-1.0449645367186356E-10</v>
      </c>
      <c r="AC327" s="79">
        <f t="shared" si="194"/>
        <v>-6.6044048235884481E-11</v>
      </c>
      <c r="AD327" s="79">
        <f t="shared" si="194"/>
        <v>-1.5633568933622902E-11</v>
      </c>
      <c r="AE327" s="79">
        <f t="shared" si="194"/>
        <v>2.445118548821702E-10</v>
      </c>
      <c r="AF327" s="79">
        <f t="shared" si="194"/>
        <v>4.9326462859222841E-10</v>
      </c>
      <c r="AG327" s="30"/>
    </row>
    <row r="328" spans="1:33" x14ac:dyDescent="0.2">
      <c r="A328" s="6" t="s">
        <v>174</v>
      </c>
      <c r="B328" s="64"/>
      <c r="C328" s="28">
        <f t="shared" ref="C328:AF328" si="195">C327*C313*C315</f>
        <v>-3.6687669494290628E-40</v>
      </c>
      <c r="D328" s="28">
        <f t="shared" si="195"/>
        <v>-1.5415674232933532E-38</v>
      </c>
      <c r="E328" s="28">
        <f t="shared" si="195"/>
        <v>-4.8039763952194519E-39</v>
      </c>
      <c r="F328" s="28">
        <f t="shared" si="195"/>
        <v>-5.4811178879253949E-38</v>
      </c>
      <c r="G328" s="28">
        <f t="shared" si="195"/>
        <v>-1.2436215205113254E-37</v>
      </c>
      <c r="H328" s="28">
        <f t="shared" si="195"/>
        <v>-1.9909106753787753E-38</v>
      </c>
      <c r="I328" s="28">
        <f t="shared" si="195"/>
        <v>-1.1848112518464652E-38</v>
      </c>
      <c r="J328" s="28">
        <f t="shared" si="195"/>
        <v>-9.9547613225128584E-39</v>
      </c>
      <c r="K328" s="28">
        <f t="shared" si="195"/>
        <v>1.0006004687656136E-40</v>
      </c>
      <c r="L328" s="28">
        <f t="shared" si="195"/>
        <v>-1.8390430109549034E-40</v>
      </c>
      <c r="M328" s="28">
        <f t="shared" si="195"/>
        <v>-1.4407701546934329E-40</v>
      </c>
      <c r="N328" s="28">
        <f t="shared" si="195"/>
        <v>-1.0052825831852766E-40</v>
      </c>
      <c r="O328" s="28">
        <f t="shared" si="195"/>
        <v>1.4822033179466836E-41</v>
      </c>
      <c r="P328" s="28">
        <f t="shared" si="195"/>
        <v>-1.0410332769856786E-40</v>
      </c>
      <c r="Q328" s="28">
        <f t="shared" si="195"/>
        <v>-6.5872396721055698E-41</v>
      </c>
      <c r="R328" s="28">
        <f t="shared" si="195"/>
        <v>-1.1183736505004269E-40</v>
      </c>
      <c r="S328" s="28">
        <f t="shared" si="195"/>
        <v>-2.8440792729328492E-40</v>
      </c>
      <c r="T328" s="28">
        <f t="shared" si="195"/>
        <v>-1.2664438928141777E-40</v>
      </c>
      <c r="U328" s="28">
        <f t="shared" si="195"/>
        <v>2.0413456069357063E-41</v>
      </c>
      <c r="V328" s="28">
        <f t="shared" si="195"/>
        <v>-1.8238899083531829E-40</v>
      </c>
      <c r="W328" s="28">
        <f t="shared" si="195"/>
        <v>-5.6814385983239432E-40</v>
      </c>
      <c r="X328" s="28">
        <f t="shared" si="195"/>
        <v>-2.7566477216955486E-40</v>
      </c>
      <c r="Y328" s="28">
        <f t="shared" si="195"/>
        <v>-6.2548985203833631E-41</v>
      </c>
      <c r="Z328" s="28">
        <f t="shared" si="195"/>
        <v>-2.6513127223327358E-40</v>
      </c>
      <c r="AA328" s="28">
        <f t="shared" si="195"/>
        <v>-5.780461638205758E-40</v>
      </c>
      <c r="AB328" s="28">
        <f t="shared" si="195"/>
        <v>-1.7097835890626964E-39</v>
      </c>
      <c r="AC328" s="28">
        <f t="shared" si="195"/>
        <v>-7.6879768490354409E-40</v>
      </c>
      <c r="AD328" s="28">
        <f t="shared" si="195"/>
        <v>-5.2154442907376625E-40</v>
      </c>
      <c r="AE328" s="28">
        <f t="shared" si="195"/>
        <v>4.7453220149940362E-39</v>
      </c>
      <c r="AF328" s="28">
        <f t="shared" si="195"/>
        <v>2.6485126118933514E-38</v>
      </c>
      <c r="AG328" s="28"/>
    </row>
    <row r="329" spans="1:33" s="15" customFormat="1" x14ac:dyDescent="0.2">
      <c r="A329" s="44" t="s">
        <v>173</v>
      </c>
      <c r="B329" s="212"/>
      <c r="C329" s="79">
        <f>(C154*C164*((C262/C158)^2-(C260/C154)^2-(C266/C164)^2))/2</f>
        <v>7.8544177745997497E-11</v>
      </c>
      <c r="D329" s="79">
        <f t="shared" ref="D329:AF329" si="196">(D154*D164*((D262/D158)^2-(D260/D154)^2-(D266/D164)^2))/2</f>
        <v>7.8544177745997497E-11</v>
      </c>
      <c r="E329" s="79">
        <f t="shared" si="196"/>
        <v>7.8544177745997497E-11</v>
      </c>
      <c r="F329" s="79">
        <f t="shared" si="196"/>
        <v>7.8544177745997497E-11</v>
      </c>
      <c r="G329" s="79">
        <f t="shared" si="196"/>
        <v>7.8544177745997497E-11</v>
      </c>
      <c r="H329" s="79">
        <f t="shared" si="196"/>
        <v>7.8544177745997497E-11</v>
      </c>
      <c r="I329" s="79">
        <f t="shared" si="196"/>
        <v>7.8544177745997497E-11</v>
      </c>
      <c r="J329" s="79">
        <f t="shared" si="196"/>
        <v>7.8544177745997497E-11</v>
      </c>
      <c r="K329" s="79">
        <f t="shared" si="196"/>
        <v>1.8913772584291456E-26</v>
      </c>
      <c r="L329" s="79">
        <f t="shared" si="196"/>
        <v>1.8913772584291456E-26</v>
      </c>
      <c r="M329" s="79">
        <f t="shared" si="196"/>
        <v>1.8913772584291456E-26</v>
      </c>
      <c r="N329" s="79">
        <f t="shared" si="196"/>
        <v>1.8913772584291456E-26</v>
      </c>
      <c r="O329" s="79">
        <f t="shared" si="196"/>
        <v>1.8913772584291456E-26</v>
      </c>
      <c r="P329" s="79">
        <f t="shared" si="196"/>
        <v>1.8913772584291456E-26</v>
      </c>
      <c r="Q329" s="79">
        <f t="shared" si="196"/>
        <v>1.8913772584291456E-26</v>
      </c>
      <c r="R329" s="79">
        <f t="shared" si="196"/>
        <v>2.5786603635190557E-11</v>
      </c>
      <c r="S329" s="79">
        <f t="shared" si="196"/>
        <v>2.5786603635190557E-11</v>
      </c>
      <c r="T329" s="79">
        <f t="shared" si="196"/>
        <v>2.5786603635190557E-11</v>
      </c>
      <c r="U329" s="79">
        <f t="shared" si="196"/>
        <v>2.5786603635190557E-11</v>
      </c>
      <c r="V329" s="79">
        <f t="shared" si="196"/>
        <v>2.5786603635190557E-11</v>
      </c>
      <c r="W329" s="79">
        <f t="shared" si="196"/>
        <v>2.5786603635190557E-11</v>
      </c>
      <c r="X329" s="79">
        <f t="shared" si="196"/>
        <v>2.5786603635190557E-11</v>
      </c>
      <c r="Y329" s="79">
        <f t="shared" si="196"/>
        <v>2.5786603635190557E-11</v>
      </c>
      <c r="Z329" s="79">
        <f t="shared" si="196"/>
        <v>2.5786603635190557E-11</v>
      </c>
      <c r="AA329" s="79">
        <f t="shared" si="196"/>
        <v>7.8544177745997497E-11</v>
      </c>
      <c r="AB329" s="79">
        <f t="shared" si="196"/>
        <v>7.8544177745997497E-11</v>
      </c>
      <c r="AC329" s="79">
        <f t="shared" si="196"/>
        <v>7.8544177745997497E-11</v>
      </c>
      <c r="AD329" s="79">
        <f t="shared" si="196"/>
        <v>7.8544177745997497E-11</v>
      </c>
      <c r="AE329" s="79">
        <f t="shared" si="196"/>
        <v>7.8544177745997497E-11</v>
      </c>
      <c r="AF329" s="79">
        <f t="shared" si="196"/>
        <v>7.8544177745997497E-11</v>
      </c>
      <c r="AG329" s="30"/>
    </row>
    <row r="330" spans="1:33" x14ac:dyDescent="0.2">
      <c r="A330" s="6" t="s">
        <v>174</v>
      </c>
      <c r="B330" s="64"/>
      <c r="C330" s="28">
        <f t="shared" ref="C330:AF330" si="197">C329*C317*C319</f>
        <v>2.3170145227356154E-40</v>
      </c>
      <c r="D330" s="28">
        <f t="shared" si="197"/>
        <v>1.769046812532612E-40</v>
      </c>
      <c r="E330" s="28">
        <f t="shared" si="197"/>
        <v>1.5410363344728531E-40</v>
      </c>
      <c r="F330" s="28">
        <f t="shared" si="197"/>
        <v>2.0127821511482164E-40</v>
      </c>
      <c r="G330" s="28">
        <f t="shared" si="197"/>
        <v>3.5782793798190517E-40</v>
      </c>
      <c r="H330" s="28">
        <f t="shared" si="197"/>
        <v>2.2722423503196668E-40</v>
      </c>
      <c r="I330" s="28">
        <f t="shared" si="197"/>
        <v>1.2948985866056614E-40</v>
      </c>
      <c r="J330" s="28">
        <f t="shared" si="197"/>
        <v>1.6152926204310125E-40</v>
      </c>
      <c r="K330" s="28">
        <f t="shared" si="197"/>
        <v>2.9298355632953365E-56</v>
      </c>
      <c r="L330" s="28">
        <f t="shared" si="197"/>
        <v>1.5496650913297642E-56</v>
      </c>
      <c r="M330" s="28">
        <f t="shared" si="197"/>
        <v>1.0761563134234477E-56</v>
      </c>
      <c r="N330" s="28">
        <f t="shared" si="197"/>
        <v>2.3017974647583719E-56</v>
      </c>
      <c r="O330" s="28">
        <f t="shared" si="197"/>
        <v>4.723317319385102E-57</v>
      </c>
      <c r="P330" s="28">
        <f t="shared" si="197"/>
        <v>1.0494205550118341E-56</v>
      </c>
      <c r="Q330" s="28">
        <f t="shared" si="197"/>
        <v>1.5175485513510335E-56</v>
      </c>
      <c r="R330" s="28">
        <f t="shared" si="197"/>
        <v>8.5080057045946039E-42</v>
      </c>
      <c r="S330" s="28">
        <f t="shared" si="197"/>
        <v>9.1622346943391492E-42</v>
      </c>
      <c r="T330" s="28">
        <f t="shared" si="197"/>
        <v>1.8902977430535753E-41</v>
      </c>
      <c r="U330" s="28">
        <f t="shared" si="197"/>
        <v>1.5701495753869142E-41</v>
      </c>
      <c r="V330" s="28">
        <f t="shared" si="197"/>
        <v>1.5268371931954931E-41</v>
      </c>
      <c r="W330" s="28">
        <f t="shared" si="197"/>
        <v>3.275991089387512E-41</v>
      </c>
      <c r="X330" s="28">
        <f t="shared" si="197"/>
        <v>7.5720947887100422E-42</v>
      </c>
      <c r="Y330" s="28">
        <f t="shared" si="197"/>
        <v>5.091476535928633E-42</v>
      </c>
      <c r="Z330" s="28">
        <f t="shared" si="197"/>
        <v>2.1371480331655217E-41</v>
      </c>
      <c r="AA330" s="28">
        <f t="shared" si="197"/>
        <v>3.6909742138026102E-40</v>
      </c>
      <c r="AB330" s="28">
        <f t="shared" si="197"/>
        <v>4.0991653857314323E-40</v>
      </c>
      <c r="AC330" s="28">
        <f t="shared" si="197"/>
        <v>4.0991653857314323E-40</v>
      </c>
      <c r="AD330" s="28">
        <f t="shared" si="197"/>
        <v>3.9803553281983774E-40</v>
      </c>
      <c r="AE330" s="28">
        <f t="shared" si="197"/>
        <v>1.769046812532612E-40</v>
      </c>
      <c r="AF330" s="28">
        <f t="shared" si="197"/>
        <v>5.3150028678757579E-40</v>
      </c>
      <c r="AG330" s="28"/>
    </row>
    <row r="331" spans="1:33" x14ac:dyDescent="0.2">
      <c r="A331" s="42" t="s">
        <v>465</v>
      </c>
      <c r="B331" s="64"/>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c r="AA331" s="28"/>
      <c r="AB331" s="28"/>
      <c r="AC331" s="28"/>
      <c r="AD331" s="28"/>
      <c r="AE331" s="28"/>
      <c r="AF331" s="28"/>
      <c r="AG331" s="28"/>
    </row>
    <row r="332" spans="1:33" x14ac:dyDescent="0.2">
      <c r="A332" s="198" t="s">
        <v>317</v>
      </c>
      <c r="B332" s="64"/>
      <c r="C332" s="28" t="e">
        <f>1/(3*C24)</f>
        <v>#DIV/0!</v>
      </c>
      <c r="D332" s="28" t="e">
        <f t="shared" ref="D332:AF332" si="198">1/(3*D24)</f>
        <v>#DIV/0!</v>
      </c>
      <c r="E332" s="28" t="e">
        <f t="shared" si="198"/>
        <v>#DIV/0!</v>
      </c>
      <c r="F332" s="28" t="e">
        <f t="shared" si="198"/>
        <v>#DIV/0!</v>
      </c>
      <c r="G332" s="28" t="e">
        <f t="shared" si="198"/>
        <v>#DIV/0!</v>
      </c>
      <c r="H332" s="28" t="e">
        <f t="shared" si="198"/>
        <v>#DIV/0!</v>
      </c>
      <c r="I332" s="28" t="e">
        <f t="shared" si="198"/>
        <v>#DIV/0!</v>
      </c>
      <c r="J332" s="28" t="e">
        <f t="shared" si="198"/>
        <v>#DIV/0!</v>
      </c>
      <c r="K332" s="28" t="e">
        <f t="shared" si="198"/>
        <v>#DIV/0!</v>
      </c>
      <c r="L332" s="28" t="e">
        <f t="shared" si="198"/>
        <v>#DIV/0!</v>
      </c>
      <c r="M332" s="28" t="e">
        <f t="shared" si="198"/>
        <v>#DIV/0!</v>
      </c>
      <c r="N332" s="28" t="e">
        <f t="shared" si="198"/>
        <v>#DIV/0!</v>
      </c>
      <c r="O332" s="28" t="e">
        <f t="shared" si="198"/>
        <v>#DIV/0!</v>
      </c>
      <c r="P332" s="28" t="e">
        <f t="shared" si="198"/>
        <v>#DIV/0!</v>
      </c>
      <c r="Q332" s="28" t="e">
        <f t="shared" si="198"/>
        <v>#DIV/0!</v>
      </c>
      <c r="R332" s="28">
        <f t="shared" si="198"/>
        <v>0.33174487253466289</v>
      </c>
      <c r="S332" s="28">
        <f t="shared" si="198"/>
        <v>0.33165964609527815</v>
      </c>
      <c r="T332" s="28">
        <f t="shared" si="198"/>
        <v>0.33215435146281602</v>
      </c>
      <c r="U332" s="28">
        <f t="shared" si="198"/>
        <v>0.33206262926990621</v>
      </c>
      <c r="V332" s="28">
        <f t="shared" si="198"/>
        <v>0.33200531208499334</v>
      </c>
      <c r="W332" s="28">
        <f t="shared" si="198"/>
        <v>0.33235544391071487</v>
      </c>
      <c r="X332" s="28">
        <f t="shared" si="198"/>
        <v>0.33268539525752977</v>
      </c>
      <c r="Y332" s="28">
        <f t="shared" si="198"/>
        <v>0.33214465404543547</v>
      </c>
      <c r="Z332" s="28">
        <f t="shared" si="198"/>
        <v>0.33209217204951552</v>
      </c>
      <c r="AA332" s="28" t="e">
        <f t="shared" si="198"/>
        <v>#DIV/0!</v>
      </c>
      <c r="AB332" s="28" t="e">
        <f t="shared" si="198"/>
        <v>#DIV/0!</v>
      </c>
      <c r="AC332" s="28" t="e">
        <f t="shared" si="198"/>
        <v>#DIV/0!</v>
      </c>
      <c r="AD332" s="28" t="e">
        <f t="shared" si="198"/>
        <v>#DIV/0!</v>
      </c>
      <c r="AE332" s="28" t="e">
        <f t="shared" si="198"/>
        <v>#DIV/0!</v>
      </c>
      <c r="AF332" s="28" t="e">
        <f t="shared" si="198"/>
        <v>#DIV/0!</v>
      </c>
      <c r="AG332" s="28"/>
    </row>
    <row r="333" spans="1:33" x14ac:dyDescent="0.2">
      <c r="A333" s="44" t="s">
        <v>479</v>
      </c>
      <c r="B333" s="64"/>
      <c r="C333" s="28" t="e">
        <f>C332*C259</f>
        <v>#DIV/0!</v>
      </c>
      <c r="D333" s="28" t="e">
        <f t="shared" ref="D333:AF333" si="199">D332*D259</f>
        <v>#DIV/0!</v>
      </c>
      <c r="E333" s="28" t="e">
        <f t="shared" si="199"/>
        <v>#DIV/0!</v>
      </c>
      <c r="F333" s="28" t="e">
        <f t="shared" si="199"/>
        <v>#DIV/0!</v>
      </c>
      <c r="G333" s="28" t="e">
        <f t="shared" si="199"/>
        <v>#DIV/0!</v>
      </c>
      <c r="H333" s="28" t="e">
        <f t="shared" si="199"/>
        <v>#DIV/0!</v>
      </c>
      <c r="I333" s="28" t="e">
        <f t="shared" si="199"/>
        <v>#DIV/0!</v>
      </c>
      <c r="J333" s="28" t="e">
        <f t="shared" si="199"/>
        <v>#DIV/0!</v>
      </c>
      <c r="K333" s="28" t="e">
        <f t="shared" si="199"/>
        <v>#DIV/0!</v>
      </c>
      <c r="L333" s="28" t="e">
        <f t="shared" si="199"/>
        <v>#DIV/0!</v>
      </c>
      <c r="M333" s="28" t="e">
        <f t="shared" si="199"/>
        <v>#DIV/0!</v>
      </c>
      <c r="N333" s="28" t="e">
        <f t="shared" si="199"/>
        <v>#DIV/0!</v>
      </c>
      <c r="O333" s="28" t="e">
        <f t="shared" si="199"/>
        <v>#DIV/0!</v>
      </c>
      <c r="P333" s="28" t="e">
        <f t="shared" si="199"/>
        <v>#DIV/0!</v>
      </c>
      <c r="Q333" s="28" t="e">
        <f t="shared" si="199"/>
        <v>#DIV/0!</v>
      </c>
      <c r="R333" s="28">
        <f t="shared" si="199"/>
        <v>8.8077545869700628E-5</v>
      </c>
      <c r="S333" s="28">
        <f t="shared" si="199"/>
        <v>8.8054918434446328E-5</v>
      </c>
      <c r="T333" s="28">
        <f t="shared" si="199"/>
        <v>8.8186261639145759E-5</v>
      </c>
      <c r="U333" s="28">
        <f t="shared" si="199"/>
        <v>8.8161909595385257E-5</v>
      </c>
      <c r="V333" s="28">
        <f t="shared" si="199"/>
        <v>8.8146692006806681E-5</v>
      </c>
      <c r="W333" s="28">
        <f t="shared" si="199"/>
        <v>8.8239651248964092E-5</v>
      </c>
      <c r="X333" s="28">
        <f t="shared" si="199"/>
        <v>8.8327252617635804E-5</v>
      </c>
      <c r="Y333" s="28">
        <f t="shared" si="199"/>
        <v>8.8183686995813284E-5</v>
      </c>
      <c r="Z333" s="28">
        <f t="shared" si="199"/>
        <v>8.8169753139450546E-5</v>
      </c>
      <c r="AA333" s="28" t="e">
        <f t="shared" si="199"/>
        <v>#DIV/0!</v>
      </c>
      <c r="AB333" s="28" t="e">
        <f t="shared" si="199"/>
        <v>#DIV/0!</v>
      </c>
      <c r="AC333" s="28" t="e">
        <f t="shared" si="199"/>
        <v>#DIV/0!</v>
      </c>
      <c r="AD333" s="28" t="e">
        <f t="shared" si="199"/>
        <v>#DIV/0!</v>
      </c>
      <c r="AE333" s="28" t="e">
        <f t="shared" si="199"/>
        <v>#DIV/0!</v>
      </c>
      <c r="AF333" s="28" t="e">
        <f t="shared" si="199"/>
        <v>#DIV/0!</v>
      </c>
      <c r="AG333" s="28"/>
    </row>
    <row r="334" spans="1:33" x14ac:dyDescent="0.2">
      <c r="A334" s="198" t="s">
        <v>318</v>
      </c>
      <c r="B334" s="64"/>
      <c r="C334" s="28" t="e">
        <f>(-C152)/(3*C24^2)</f>
        <v>#DIV/0!</v>
      </c>
      <c r="D334" s="28" t="e">
        <f t="shared" ref="D334:AF334" si="200">(-D152)/(3*D24^2)</f>
        <v>#DIV/0!</v>
      </c>
      <c r="E334" s="28" t="e">
        <f t="shared" si="200"/>
        <v>#DIV/0!</v>
      </c>
      <c r="F334" s="28" t="e">
        <f t="shared" si="200"/>
        <v>#DIV/0!</v>
      </c>
      <c r="G334" s="28" t="e">
        <f t="shared" si="200"/>
        <v>#DIV/0!</v>
      </c>
      <c r="H334" s="28" t="e">
        <f t="shared" si="200"/>
        <v>#DIV/0!</v>
      </c>
      <c r="I334" s="28" t="e">
        <f t="shared" si="200"/>
        <v>#DIV/0!</v>
      </c>
      <c r="J334" s="28" t="e">
        <f t="shared" si="200"/>
        <v>#DIV/0!</v>
      </c>
      <c r="K334" s="28" t="e">
        <f t="shared" si="200"/>
        <v>#DIV/0!</v>
      </c>
      <c r="L334" s="28" t="e">
        <f t="shared" si="200"/>
        <v>#DIV/0!</v>
      </c>
      <c r="M334" s="28" t="e">
        <f t="shared" si="200"/>
        <v>#DIV/0!</v>
      </c>
      <c r="N334" s="28" t="e">
        <f t="shared" si="200"/>
        <v>#DIV/0!</v>
      </c>
      <c r="O334" s="28" t="e">
        <f t="shared" si="200"/>
        <v>#DIV/0!</v>
      </c>
      <c r="P334" s="28" t="e">
        <f t="shared" si="200"/>
        <v>#DIV/0!</v>
      </c>
      <c r="Q334" s="28" t="e">
        <f t="shared" si="200"/>
        <v>#DIV/0!</v>
      </c>
      <c r="R334" s="28">
        <f t="shared" si="200"/>
        <v>-0.32991276884881177</v>
      </c>
      <c r="S334" s="28">
        <f t="shared" si="200"/>
        <v>-0.3297432790920255</v>
      </c>
      <c r="T334" s="28">
        <f t="shared" si="200"/>
        <v>-0.33072770654137007</v>
      </c>
      <c r="U334" s="28">
        <f t="shared" si="200"/>
        <v>-0.33054507529205185</v>
      </c>
      <c r="V334" s="28">
        <f t="shared" si="200"/>
        <v>-0.33043097465916049</v>
      </c>
      <c r="W334" s="28">
        <f t="shared" si="200"/>
        <v>-0.33112828522441989</v>
      </c>
      <c r="X334" s="28">
        <f t="shared" si="200"/>
        <v>-0.33178607770918156</v>
      </c>
      <c r="Y334" s="28">
        <f t="shared" si="200"/>
        <v>-0.3307083952917807</v>
      </c>
      <c r="Z334" s="28">
        <f t="shared" si="200"/>
        <v>-0.33060389344166041</v>
      </c>
      <c r="AA334" s="28" t="e">
        <f t="shared" si="200"/>
        <v>#DIV/0!</v>
      </c>
      <c r="AB334" s="28" t="e">
        <f t="shared" si="200"/>
        <v>#DIV/0!</v>
      </c>
      <c r="AC334" s="28" t="e">
        <f t="shared" si="200"/>
        <v>#DIV/0!</v>
      </c>
      <c r="AD334" s="28" t="e">
        <f t="shared" si="200"/>
        <v>#DIV/0!</v>
      </c>
      <c r="AE334" s="28" t="e">
        <f t="shared" si="200"/>
        <v>#DIV/0!</v>
      </c>
      <c r="AF334" s="28" t="e">
        <f t="shared" si="200"/>
        <v>#DIV/0!</v>
      </c>
      <c r="AG334" s="28"/>
    </row>
    <row r="335" spans="1:33" x14ac:dyDescent="0.2">
      <c r="A335" s="44" t="s">
        <v>479</v>
      </c>
      <c r="B335" s="64"/>
      <c r="C335" s="28" t="e">
        <f>C334*C255</f>
        <v>#DIV/0!</v>
      </c>
      <c r="D335" s="28" t="e">
        <f t="shared" ref="D335:AF335" si="201">D334*D255</f>
        <v>#DIV/0!</v>
      </c>
      <c r="E335" s="28" t="e">
        <f t="shared" si="201"/>
        <v>#DIV/0!</v>
      </c>
      <c r="F335" s="28" t="e">
        <f t="shared" si="201"/>
        <v>#DIV/0!</v>
      </c>
      <c r="G335" s="28" t="e">
        <f t="shared" si="201"/>
        <v>#DIV/0!</v>
      </c>
      <c r="H335" s="28" t="e">
        <f t="shared" si="201"/>
        <v>#DIV/0!</v>
      </c>
      <c r="I335" s="28" t="e">
        <f t="shared" si="201"/>
        <v>#DIV/0!</v>
      </c>
      <c r="J335" s="28" t="e">
        <f t="shared" si="201"/>
        <v>#DIV/0!</v>
      </c>
      <c r="K335" s="28" t="e">
        <f t="shared" si="201"/>
        <v>#DIV/0!</v>
      </c>
      <c r="L335" s="28" t="e">
        <f t="shared" si="201"/>
        <v>#DIV/0!</v>
      </c>
      <c r="M335" s="28" t="e">
        <f t="shared" si="201"/>
        <v>#DIV/0!</v>
      </c>
      <c r="N335" s="28" t="e">
        <f t="shared" si="201"/>
        <v>#DIV/0!</v>
      </c>
      <c r="O335" s="28" t="e">
        <f t="shared" si="201"/>
        <v>#DIV/0!</v>
      </c>
      <c r="P335" s="28" t="e">
        <f t="shared" si="201"/>
        <v>#DIV/0!</v>
      </c>
      <c r="Q335" s="28" t="e">
        <f t="shared" si="201"/>
        <v>#DIV/0!</v>
      </c>
      <c r="R335" s="28">
        <f t="shared" si="201"/>
        <v>-5.3561460619120507E-5</v>
      </c>
      <c r="S335" s="28">
        <f t="shared" si="201"/>
        <v>-4.5008623656504403E-5</v>
      </c>
      <c r="T335" s="28">
        <f t="shared" si="201"/>
        <v>-3.6890069003248469E-5</v>
      </c>
      <c r="U335" s="28">
        <f t="shared" si="201"/>
        <v>-5.5915700708106266E-5</v>
      </c>
      <c r="V335" s="28">
        <f t="shared" si="201"/>
        <v>-6.6350539711559434E-5</v>
      </c>
      <c r="W335" s="28">
        <f t="shared" si="201"/>
        <v>-3.0325536811398073E-5</v>
      </c>
      <c r="X335" s="28">
        <f t="shared" si="201"/>
        <v>-4.1808822418896253E-5</v>
      </c>
      <c r="Y335" s="28">
        <f t="shared" si="201"/>
        <v>-6.4833064863159407E-5</v>
      </c>
      <c r="Z335" s="28">
        <f t="shared" si="201"/>
        <v>-4.8414618715143458E-5</v>
      </c>
      <c r="AA335" s="28" t="e">
        <f t="shared" si="201"/>
        <v>#DIV/0!</v>
      </c>
      <c r="AB335" s="28" t="e">
        <f t="shared" si="201"/>
        <v>#DIV/0!</v>
      </c>
      <c r="AC335" s="28" t="e">
        <f t="shared" si="201"/>
        <v>#DIV/0!</v>
      </c>
      <c r="AD335" s="28" t="e">
        <f t="shared" si="201"/>
        <v>#DIV/0!</v>
      </c>
      <c r="AE335" s="28" t="e">
        <f t="shared" si="201"/>
        <v>#DIV/0!</v>
      </c>
      <c r="AF335" s="28" t="e">
        <f t="shared" si="201"/>
        <v>#DIV/0!</v>
      </c>
      <c r="AG335" s="28"/>
    </row>
    <row r="336" spans="1:33" x14ac:dyDescent="0.2">
      <c r="A336" s="44" t="s">
        <v>467</v>
      </c>
      <c r="B336" s="64"/>
      <c r="C336" s="28" t="e">
        <f>(1-(C152/C24))/3</f>
        <v>#DIV/0!</v>
      </c>
      <c r="D336" s="28" t="e">
        <f t="shared" ref="D336:AF336" si="202">(1-(D152/D24))/3</f>
        <v>#DIV/0!</v>
      </c>
      <c r="E336" s="28" t="e">
        <f t="shared" si="202"/>
        <v>#DIV/0!</v>
      </c>
      <c r="F336" s="28" t="e">
        <f t="shared" si="202"/>
        <v>#DIV/0!</v>
      </c>
      <c r="G336" s="28" t="e">
        <f t="shared" si="202"/>
        <v>#DIV/0!</v>
      </c>
      <c r="H336" s="28" t="e">
        <f t="shared" si="202"/>
        <v>#DIV/0!</v>
      </c>
      <c r="I336" s="28" t="e">
        <f t="shared" si="202"/>
        <v>#DIV/0!</v>
      </c>
      <c r="J336" s="28" t="e">
        <f t="shared" si="202"/>
        <v>#DIV/0!</v>
      </c>
      <c r="K336" s="28" t="e">
        <f t="shared" si="202"/>
        <v>#DIV/0!</v>
      </c>
      <c r="L336" s="28" t="e">
        <f t="shared" si="202"/>
        <v>#DIV/0!</v>
      </c>
      <c r="M336" s="28" t="e">
        <f t="shared" si="202"/>
        <v>#DIV/0!</v>
      </c>
      <c r="N336" s="28" t="e">
        <f t="shared" si="202"/>
        <v>#DIV/0!</v>
      </c>
      <c r="O336" s="28" t="e">
        <f t="shared" si="202"/>
        <v>#DIV/0!</v>
      </c>
      <c r="P336" s="28" t="e">
        <f t="shared" si="202"/>
        <v>#DIV/0!</v>
      </c>
      <c r="Q336" s="28" t="e">
        <f t="shared" si="202"/>
        <v>#DIV/0!</v>
      </c>
      <c r="R336" s="28">
        <f t="shared" si="202"/>
        <v>1.8408761647197291E-3</v>
      </c>
      <c r="S336" s="28">
        <f t="shared" si="202"/>
        <v>1.9260377576978775E-3</v>
      </c>
      <c r="T336" s="28">
        <f t="shared" si="202"/>
        <v>1.4317087975946514E-3</v>
      </c>
      <c r="U336" s="28">
        <f t="shared" si="202"/>
        <v>1.5233612016612996E-3</v>
      </c>
      <c r="V336" s="28">
        <f t="shared" si="202"/>
        <v>1.5806347755361976E-3</v>
      </c>
      <c r="W336" s="28">
        <f t="shared" si="202"/>
        <v>1.2307693552975711E-3</v>
      </c>
      <c r="X336" s="28">
        <f t="shared" si="202"/>
        <v>9.0106905920532088E-4</v>
      </c>
      <c r="Y336" s="28">
        <f t="shared" si="202"/>
        <v>1.4413988364823844E-3</v>
      </c>
      <c r="Z336" s="28">
        <f t="shared" si="202"/>
        <v>1.4938409003241171E-3</v>
      </c>
      <c r="AA336" s="28" t="e">
        <f t="shared" si="202"/>
        <v>#DIV/0!</v>
      </c>
      <c r="AB336" s="28" t="e">
        <f t="shared" si="202"/>
        <v>#DIV/0!</v>
      </c>
      <c r="AC336" s="28" t="e">
        <f t="shared" si="202"/>
        <v>#DIV/0!</v>
      </c>
      <c r="AD336" s="28" t="e">
        <f t="shared" si="202"/>
        <v>#DIV/0!</v>
      </c>
      <c r="AE336" s="28" t="e">
        <f t="shared" si="202"/>
        <v>#DIV/0!</v>
      </c>
      <c r="AF336" s="28" t="e">
        <f t="shared" si="202"/>
        <v>#DIV/0!</v>
      </c>
      <c r="AG336" s="28"/>
    </row>
    <row r="337" spans="1:33" x14ac:dyDescent="0.2">
      <c r="A337" s="31" t="s">
        <v>399</v>
      </c>
      <c r="B337" s="64"/>
      <c r="C337" s="28" t="e">
        <f>SQRT(C333*C333+C335*C335)</f>
        <v>#DIV/0!</v>
      </c>
      <c r="D337" s="28" t="e">
        <f t="shared" ref="D337:AF337" si="203">SQRT(D333*D333+D335*D335)</f>
        <v>#DIV/0!</v>
      </c>
      <c r="E337" s="28" t="e">
        <f t="shared" si="203"/>
        <v>#DIV/0!</v>
      </c>
      <c r="F337" s="28" t="e">
        <f t="shared" si="203"/>
        <v>#DIV/0!</v>
      </c>
      <c r="G337" s="28" t="e">
        <f t="shared" si="203"/>
        <v>#DIV/0!</v>
      </c>
      <c r="H337" s="28" t="e">
        <f t="shared" si="203"/>
        <v>#DIV/0!</v>
      </c>
      <c r="I337" s="28" t="e">
        <f t="shared" si="203"/>
        <v>#DIV/0!</v>
      </c>
      <c r="J337" s="28" t="e">
        <f t="shared" si="203"/>
        <v>#DIV/0!</v>
      </c>
      <c r="K337" s="28" t="e">
        <f t="shared" si="203"/>
        <v>#DIV/0!</v>
      </c>
      <c r="L337" s="28" t="e">
        <f t="shared" si="203"/>
        <v>#DIV/0!</v>
      </c>
      <c r="M337" s="28" t="e">
        <f t="shared" si="203"/>
        <v>#DIV/0!</v>
      </c>
      <c r="N337" s="28" t="e">
        <f t="shared" si="203"/>
        <v>#DIV/0!</v>
      </c>
      <c r="O337" s="28" t="e">
        <f t="shared" si="203"/>
        <v>#DIV/0!</v>
      </c>
      <c r="P337" s="28" t="e">
        <f t="shared" si="203"/>
        <v>#DIV/0!</v>
      </c>
      <c r="Q337" s="28" t="e">
        <f t="shared" si="203"/>
        <v>#DIV/0!</v>
      </c>
      <c r="R337" s="28">
        <f t="shared" si="203"/>
        <v>1.030848395744147E-4</v>
      </c>
      <c r="S337" s="28">
        <f t="shared" si="203"/>
        <v>9.8891075754841716E-5</v>
      </c>
      <c r="T337" s="28">
        <f t="shared" si="203"/>
        <v>9.5591285863055029E-5</v>
      </c>
      <c r="U337" s="28">
        <f t="shared" si="203"/>
        <v>1.0439869677914278E-4</v>
      </c>
      <c r="V337" s="28">
        <f t="shared" si="203"/>
        <v>1.1032784522394182E-4</v>
      </c>
      <c r="W337" s="28">
        <f t="shared" si="203"/>
        <v>9.3305274424537594E-5</v>
      </c>
      <c r="X337" s="28">
        <f t="shared" si="203"/>
        <v>9.7722470225810665E-5</v>
      </c>
      <c r="Y337" s="28">
        <f t="shared" si="203"/>
        <v>1.0945176541164699E-4</v>
      </c>
      <c r="Z337" s="28">
        <f t="shared" si="203"/>
        <v>1.0058767655137665E-4</v>
      </c>
      <c r="AA337" s="28" t="e">
        <f t="shared" si="203"/>
        <v>#DIV/0!</v>
      </c>
      <c r="AB337" s="28" t="e">
        <f t="shared" si="203"/>
        <v>#DIV/0!</v>
      </c>
      <c r="AC337" s="28" t="e">
        <f t="shared" si="203"/>
        <v>#DIV/0!</v>
      </c>
      <c r="AD337" s="28" t="e">
        <f t="shared" si="203"/>
        <v>#DIV/0!</v>
      </c>
      <c r="AE337" s="28" t="e">
        <f t="shared" si="203"/>
        <v>#DIV/0!</v>
      </c>
      <c r="AF337" s="28" t="e">
        <f t="shared" si="203"/>
        <v>#DIV/0!</v>
      </c>
      <c r="AG337" s="28"/>
    </row>
    <row r="338" spans="1:33" x14ac:dyDescent="0.2">
      <c r="A338" s="42" t="s">
        <v>466</v>
      </c>
      <c r="B338" s="44"/>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c r="AA338" s="81"/>
      <c r="AB338" s="81"/>
      <c r="AC338" s="81"/>
      <c r="AD338" s="81"/>
      <c r="AE338" s="81"/>
      <c r="AF338" s="81"/>
      <c r="AG338" s="40"/>
    </row>
    <row r="339" spans="1:33" x14ac:dyDescent="0.2">
      <c r="A339" s="198" t="s">
        <v>276</v>
      </c>
      <c r="B339" s="212"/>
      <c r="C339" s="79">
        <f>((C245-C26)/(2*C28*(C166-C245)+3*C168*C26))-((3*C26*(C168*(C245-C26)+C28*(C166-C245)))/((2*C28*(C166-C245)+3*C168*C26)^2))</f>
        <v>-0.49651560671563177</v>
      </c>
      <c r="D339" s="79">
        <f t="shared" ref="D339:AF339" si="204">((D245-D26)/(2*D28*(D166-D245)+3*D168*D26))-((3*D26*(D168*(D245-D26)+D28*(D166-D245)))/((2*D28*(D166-D245)+3*D168*D26)^2))</f>
        <v>-0.49581576956021151</v>
      </c>
      <c r="E339" s="79">
        <f t="shared" si="204"/>
        <v>-0.49577961440682355</v>
      </c>
      <c r="F339" s="79">
        <f t="shared" si="204"/>
        <v>-0.49585918374803051</v>
      </c>
      <c r="G339" s="79">
        <f t="shared" si="204"/>
        <v>-0.4959599583466992</v>
      </c>
      <c r="H339" s="79">
        <f t="shared" si="204"/>
        <v>-0.49549150981745699</v>
      </c>
      <c r="I339" s="79">
        <f t="shared" si="204"/>
        <v>-0.49581208146656208</v>
      </c>
      <c r="J339" s="79">
        <f t="shared" si="204"/>
        <v>-0.49581702709308267</v>
      </c>
      <c r="K339" s="79">
        <f t="shared" si="204"/>
        <v>-0.50602546586189145</v>
      </c>
      <c r="L339" s="79">
        <f t="shared" si="204"/>
        <v>-0.50596120504502862</v>
      </c>
      <c r="M339" s="79">
        <f t="shared" si="204"/>
        <v>-0.50644592599164706</v>
      </c>
      <c r="N339" s="79">
        <f t="shared" si="204"/>
        <v>-0.5067474050127605</v>
      </c>
      <c r="O339" s="79">
        <f t="shared" si="204"/>
        <v>-0.50448865448929658</v>
      </c>
      <c r="P339" s="79">
        <f t="shared" si="204"/>
        <v>-0.50557506045777711</v>
      </c>
      <c r="Q339" s="79">
        <f t="shared" si="204"/>
        <v>-0.50232532397024443</v>
      </c>
      <c r="R339" s="79">
        <f t="shared" si="204"/>
        <v>-0.50333367958955677</v>
      </c>
      <c r="S339" s="79">
        <f t="shared" si="204"/>
        <v>-0.50332197363116427</v>
      </c>
      <c r="T339" s="79">
        <f t="shared" si="204"/>
        <v>-0.50263748275300768</v>
      </c>
      <c r="U339" s="79">
        <f t="shared" si="204"/>
        <v>-0.50225642419993755</v>
      </c>
      <c r="V339" s="79">
        <f t="shared" si="204"/>
        <v>-0.50198323418164348</v>
      </c>
      <c r="W339" s="79">
        <f t="shared" si="204"/>
        <v>-0.50189182258493092</v>
      </c>
      <c r="X339" s="79">
        <f t="shared" si="204"/>
        <v>-0.50335729675191809</v>
      </c>
      <c r="Y339" s="79">
        <f t="shared" si="204"/>
        <v>-0.50313115209705406</v>
      </c>
      <c r="Z339" s="79">
        <f t="shared" si="204"/>
        <v>-0.50227901641285699</v>
      </c>
      <c r="AA339" s="79">
        <f t="shared" si="204"/>
        <v>-0.50149766663218709</v>
      </c>
      <c r="AB339" s="79">
        <f t="shared" si="204"/>
        <v>-0.5024886677917545</v>
      </c>
      <c r="AC339" s="79">
        <f t="shared" si="204"/>
        <v>-0.49882636961337828</v>
      </c>
      <c r="AD339" s="79">
        <f t="shared" si="204"/>
        <v>-0.50374330560324809</v>
      </c>
      <c r="AE339" s="79">
        <f t="shared" si="204"/>
        <v>-0.506697911785985</v>
      </c>
      <c r="AF339" s="79">
        <f t="shared" si="204"/>
        <v>-0.50193443036414587</v>
      </c>
      <c r="AG339" s="30"/>
    </row>
    <row r="340" spans="1:33" x14ac:dyDescent="0.2">
      <c r="A340" s="44" t="s">
        <v>479</v>
      </c>
      <c r="B340" s="64"/>
      <c r="C340" s="28">
        <f t="shared" ref="C340:AF340" si="205">C339*C268</f>
        <v>-5.0002393340409492E-5</v>
      </c>
      <c r="D340" s="28">
        <f t="shared" si="205"/>
        <v>-4.9931915127345789E-5</v>
      </c>
      <c r="E340" s="28">
        <f t="shared" si="205"/>
        <v>-4.9928274065158548E-5</v>
      </c>
      <c r="F340" s="28">
        <f t="shared" si="205"/>
        <v>-4.9936287222132984E-5</v>
      </c>
      <c r="G340" s="28">
        <f t="shared" si="205"/>
        <v>-4.9946435888263912E-5</v>
      </c>
      <c r="H340" s="28">
        <f t="shared" si="205"/>
        <v>-4.9899260034570514E-5</v>
      </c>
      <c r="I340" s="28">
        <f t="shared" si="205"/>
        <v>-4.993154371201294E-5</v>
      </c>
      <c r="J340" s="28">
        <f t="shared" si="205"/>
        <v>-4.9932041769192315E-5</v>
      </c>
      <c r="K340" s="28">
        <f t="shared" si="205"/>
        <v>-2.7242630414898535E-5</v>
      </c>
      <c r="L340" s="28">
        <f t="shared" si="205"/>
        <v>-2.7239170838647815E-5</v>
      </c>
      <c r="M340" s="28">
        <f t="shared" si="205"/>
        <v>-2.7265266508715715E-5</v>
      </c>
      <c r="N340" s="28">
        <f t="shared" si="205"/>
        <v>-2.7281497078329536E-5</v>
      </c>
      <c r="O340" s="28">
        <f t="shared" si="205"/>
        <v>-2.7159893898526369E-5</v>
      </c>
      <c r="P340" s="28">
        <f t="shared" si="205"/>
        <v>-2.7218382172885138E-5</v>
      </c>
      <c r="Q340" s="28">
        <f t="shared" si="205"/>
        <v>-2.7043427795984616E-5</v>
      </c>
      <c r="R340" s="28">
        <f t="shared" si="205"/>
        <v>-2.7097686121295675E-5</v>
      </c>
      <c r="S340" s="28">
        <f t="shared" si="205"/>
        <v>-2.7097055914339272E-5</v>
      </c>
      <c r="T340" s="28">
        <f t="shared" si="205"/>
        <v>-2.7060205372201299E-5</v>
      </c>
      <c r="U340" s="28">
        <f t="shared" si="205"/>
        <v>-2.7039690541814129E-5</v>
      </c>
      <c r="V340" s="28">
        <f t="shared" si="205"/>
        <v>-2.7024982967758602E-5</v>
      </c>
      <c r="W340" s="28">
        <f t="shared" si="205"/>
        <v>-2.7020061694146267E-5</v>
      </c>
      <c r="X340" s="28">
        <f t="shared" si="205"/>
        <v>-2.7098957584896652E-5</v>
      </c>
      <c r="Y340" s="28">
        <f t="shared" si="205"/>
        <v>-2.708678276504253E-5</v>
      </c>
      <c r="Z340" s="28">
        <f t="shared" si="205"/>
        <v>-2.7040906825800878E-5</v>
      </c>
      <c r="AA340" s="28">
        <f t="shared" si="205"/>
        <v>-5.0504119602834435E-5</v>
      </c>
      <c r="AB340" s="28">
        <f t="shared" si="205"/>
        <v>-5.060391994971431E-5</v>
      </c>
      <c r="AC340" s="28">
        <f t="shared" si="205"/>
        <v>-5.0235102390773183E-5</v>
      </c>
      <c r="AD340" s="28">
        <f t="shared" si="205"/>
        <v>-5.0730270244652737E-5</v>
      </c>
      <c r="AE340" s="28">
        <f t="shared" si="205"/>
        <v>-5.1027818556361356E-5</v>
      </c>
      <c r="AF340" s="28">
        <f t="shared" si="205"/>
        <v>-5.0548104588657319E-5</v>
      </c>
      <c r="AG340" s="28"/>
    </row>
    <row r="341" spans="1:33" x14ac:dyDescent="0.2">
      <c r="A341" s="198" t="s">
        <v>277</v>
      </c>
      <c r="B341" s="212"/>
      <c r="C341" s="79">
        <f>((-C168)/(2*C28*(C166-C245)+3*C168*C26))-((3*C168*(C168*(C245-C26)+C28*(C166-C245)))/((2*C28*(C166-C245)+3*C168*C26)^2))</f>
        <v>3.6407705270894214E-3</v>
      </c>
      <c r="D341" s="79">
        <f t="shared" ref="D341:AF341" si="206">((-D168)/(2*D28*(D166-D245)+3*D168*D26))-((3*D168*(D168*(D245-D26)+D28*(D166-D245)))/((2*D28*(D166-D245)+3*D168*D26)^2))</f>
        <v>3.6299541064456157E-3</v>
      </c>
      <c r="E341" s="79">
        <f t="shared" si="206"/>
        <v>3.6311494747991477E-3</v>
      </c>
      <c r="F341" s="79">
        <f t="shared" si="206"/>
        <v>3.6317708219919301E-3</v>
      </c>
      <c r="G341" s="79">
        <f t="shared" si="206"/>
        <v>3.6313157093013841E-3</v>
      </c>
      <c r="H341" s="79">
        <f t="shared" si="206"/>
        <v>3.631746270011798E-3</v>
      </c>
      <c r="I341" s="79">
        <f t="shared" si="206"/>
        <v>3.6325255822215736E-3</v>
      </c>
      <c r="J341" s="79">
        <f t="shared" si="206"/>
        <v>3.631555683114877E-3</v>
      </c>
      <c r="K341" s="79">
        <f t="shared" si="206"/>
        <v>3.6820783976090755E-3</v>
      </c>
      <c r="L341" s="79">
        <f t="shared" si="206"/>
        <v>3.6806797593394464E-3</v>
      </c>
      <c r="M341" s="79">
        <f t="shared" si="206"/>
        <v>3.6862422545823159E-3</v>
      </c>
      <c r="N341" s="79">
        <f t="shared" si="206"/>
        <v>3.6901966345278532E-3</v>
      </c>
      <c r="O341" s="79">
        <f t="shared" si="206"/>
        <v>3.6645828657564461E-3</v>
      </c>
      <c r="P341" s="79">
        <f t="shared" si="206"/>
        <v>3.6784270979138833E-3</v>
      </c>
      <c r="Q341" s="79">
        <f t="shared" si="206"/>
        <v>3.6372456027899264E-3</v>
      </c>
      <c r="R341" s="79">
        <f t="shared" si="206"/>
        <v>3.6515422790585708E-3</v>
      </c>
      <c r="S341" s="79">
        <f t="shared" si="206"/>
        <v>3.6496144608299799E-3</v>
      </c>
      <c r="T341" s="79">
        <f t="shared" si="206"/>
        <v>3.6421752542975948E-3</v>
      </c>
      <c r="U341" s="79">
        <f t="shared" si="206"/>
        <v>3.6373813187886832E-3</v>
      </c>
      <c r="V341" s="79">
        <f t="shared" si="206"/>
        <v>3.6336359710960218E-3</v>
      </c>
      <c r="W341" s="79">
        <f t="shared" si="206"/>
        <v>3.6318122393938631E-3</v>
      </c>
      <c r="X341" s="79">
        <f t="shared" si="206"/>
        <v>3.6505385492090802E-3</v>
      </c>
      <c r="Y341" s="79">
        <f t="shared" si="206"/>
        <v>3.6460476294837485E-3</v>
      </c>
      <c r="Z341" s="79">
        <f t="shared" si="206"/>
        <v>3.6367657206782616E-3</v>
      </c>
      <c r="AA341" s="79">
        <f t="shared" si="206"/>
        <v>3.7032912506600184E-3</v>
      </c>
      <c r="AB341" s="79">
        <f t="shared" si="206"/>
        <v>3.7155709017271748E-3</v>
      </c>
      <c r="AC341" s="79">
        <f t="shared" si="206"/>
        <v>3.6694739240736331E-3</v>
      </c>
      <c r="AD341" s="79">
        <f t="shared" si="206"/>
        <v>3.7293012148899201E-3</v>
      </c>
      <c r="AE341" s="79">
        <f t="shared" si="206"/>
        <v>3.7650893216873383E-3</v>
      </c>
      <c r="AF341" s="79">
        <f t="shared" si="206"/>
        <v>3.7088897771279886E-3</v>
      </c>
      <c r="AG341" s="30"/>
    </row>
    <row r="342" spans="1:33" x14ac:dyDescent="0.2">
      <c r="A342" s="44" t="s">
        <v>479</v>
      </c>
      <c r="B342" s="64"/>
      <c r="C342" s="28">
        <f t="shared" ref="C342:AF342" si="207">C341*C256</f>
        <v>4.94359382927418E-8</v>
      </c>
      <c r="D342" s="28">
        <f t="shared" si="207"/>
        <v>3.9217141308924955E-8</v>
      </c>
      <c r="E342" s="28">
        <f t="shared" si="207"/>
        <v>5.4654847009566128E-8</v>
      </c>
      <c r="F342" s="28">
        <f t="shared" si="207"/>
        <v>4.6578223342322427E-8</v>
      </c>
      <c r="G342" s="28">
        <f t="shared" si="207"/>
        <v>6.1370522372920893E-8</v>
      </c>
      <c r="H342" s="28">
        <f t="shared" si="207"/>
        <v>1.3160573901290407E-7</v>
      </c>
      <c r="I342" s="28">
        <f t="shared" si="207"/>
        <v>4.1955968646633149E-8</v>
      </c>
      <c r="J342" s="28">
        <f t="shared" si="207"/>
        <v>1.6700150598177673E-7</v>
      </c>
      <c r="K342" s="28">
        <f t="shared" si="207"/>
        <v>8.9198808631196943E-8</v>
      </c>
      <c r="L342" s="28">
        <f t="shared" si="207"/>
        <v>6.3432912616489658E-8</v>
      </c>
      <c r="M342" s="28">
        <f t="shared" si="207"/>
        <v>4.4707506754074629E-8</v>
      </c>
      <c r="N342" s="28">
        <f t="shared" si="207"/>
        <v>7.871479409199533E-8</v>
      </c>
      <c r="O342" s="28">
        <f t="shared" si="207"/>
        <v>5.5655670934486835E-8</v>
      </c>
      <c r="P342" s="28">
        <f t="shared" si="207"/>
        <v>3.5685754240567209E-7</v>
      </c>
      <c r="Q342" s="28">
        <f t="shared" si="207"/>
        <v>3.1882590100329858E-8</v>
      </c>
      <c r="R342" s="28">
        <f t="shared" si="207"/>
        <v>6.6819570746627912E-8</v>
      </c>
      <c r="S342" s="28">
        <f t="shared" si="207"/>
        <v>5.560920093168985E-8</v>
      </c>
      <c r="T342" s="28">
        <f t="shared" si="207"/>
        <v>3.7150178042584484E-8</v>
      </c>
      <c r="U342" s="28">
        <f t="shared" si="207"/>
        <v>5.6805276384445008E-8</v>
      </c>
      <c r="V342" s="28">
        <f t="shared" si="207"/>
        <v>2.7227220705715228E-8</v>
      </c>
      <c r="W342" s="28">
        <f t="shared" si="207"/>
        <v>1.4889364848892359E-8</v>
      </c>
      <c r="X342" s="28">
        <f t="shared" si="207"/>
        <v>4.3000858739516676E-8</v>
      </c>
      <c r="Y342" s="28">
        <f t="shared" si="207"/>
        <v>3.7693069302212976E-8</v>
      </c>
      <c r="Z342" s="28">
        <f t="shared" si="207"/>
        <v>4.0200407257001943E-8</v>
      </c>
      <c r="AA342" s="28">
        <f t="shared" si="207"/>
        <v>6.9636312440049878E-8</v>
      </c>
      <c r="AB342" s="28">
        <f t="shared" si="207"/>
        <v>1.4236346135092495E-7</v>
      </c>
      <c r="AC342" s="28">
        <f t="shared" si="207"/>
        <v>6.8102420701801669E-8</v>
      </c>
      <c r="AD342" s="28">
        <f t="shared" si="207"/>
        <v>1.1092993981668666E-7</v>
      </c>
      <c r="AE342" s="28">
        <f t="shared" si="207"/>
        <v>2.9140922839359762E-7</v>
      </c>
      <c r="AF342" s="28">
        <f t="shared" si="207"/>
        <v>1.1136823482681026E-7</v>
      </c>
      <c r="AG342" s="28"/>
    </row>
    <row r="343" spans="1:33" x14ac:dyDescent="0.2">
      <c r="A343" s="45" t="s">
        <v>278</v>
      </c>
      <c r="B343" s="212"/>
      <c r="C343" s="79">
        <f>((C166-C245)/(2*C28*(C166-C245)+3*C168*C26))-((2*(C166-C245)*(C168*(C245-C26)+C28*(C166-C245)))/((2*C28*(C166-C245)+3*C168*C26)^2))</f>
        <v>0.49622660890213216</v>
      </c>
      <c r="D343" s="79">
        <f t="shared" ref="D343:AF343" si="208">((D166-D245)/(2*D28*(D166-D245)+3*D168*D26))-((2*(D166-D245)*(D168*(D245-D26)+D28*(D166-D245)))/((2*D28*(D166-D245)+3*D168*D26)^2))</f>
        <v>0.49510727369612489</v>
      </c>
      <c r="E343" s="79">
        <f t="shared" si="208"/>
        <v>0.49501290781266577</v>
      </c>
      <c r="F343" s="79">
        <f t="shared" si="208"/>
        <v>0.4951528352397041</v>
      </c>
      <c r="G343" s="79">
        <f t="shared" si="208"/>
        <v>0.49535592636496073</v>
      </c>
      <c r="H343" s="79">
        <f t="shared" si="208"/>
        <v>0.49444709872243975</v>
      </c>
      <c r="I343" s="79">
        <f t="shared" si="208"/>
        <v>0.49504664985840036</v>
      </c>
      <c r="J343" s="79">
        <f t="shared" si="208"/>
        <v>0.49507632637642857</v>
      </c>
      <c r="K343" s="79">
        <f t="shared" si="208"/>
        <v>0.5081030838613837</v>
      </c>
      <c r="L343" s="79">
        <f t="shared" si="208"/>
        <v>0.50800890378430474</v>
      </c>
      <c r="M343" s="79">
        <f t="shared" si="208"/>
        <v>0.50882277711831414</v>
      </c>
      <c r="N343" s="79">
        <f t="shared" si="208"/>
        <v>0.50931872507797726</v>
      </c>
      <c r="O343" s="79">
        <f t="shared" si="208"/>
        <v>0.50551957467633379</v>
      </c>
      <c r="P343" s="79">
        <f t="shared" si="208"/>
        <v>0.5073153025241165</v>
      </c>
      <c r="Q343" s="79">
        <f t="shared" si="208"/>
        <v>0.50193934766206161</v>
      </c>
      <c r="R343" s="79">
        <f t="shared" si="208"/>
        <v>0.50357552623284629</v>
      </c>
      <c r="S343" s="79">
        <f t="shared" si="208"/>
        <v>0.50359340491196736</v>
      </c>
      <c r="T343" s="79">
        <f t="shared" si="208"/>
        <v>0.50243522212247071</v>
      </c>
      <c r="U343" s="79">
        <f t="shared" si="208"/>
        <v>0.50180413628691167</v>
      </c>
      <c r="V343" s="79">
        <f t="shared" si="208"/>
        <v>0.50135819638823842</v>
      </c>
      <c r="W343" s="79">
        <f t="shared" si="208"/>
        <v>0.50122100754112597</v>
      </c>
      <c r="X343" s="79">
        <f t="shared" si="208"/>
        <v>0.50364185814638407</v>
      </c>
      <c r="Y343" s="79">
        <f t="shared" si="208"/>
        <v>0.50330185304335906</v>
      </c>
      <c r="Z343" s="79">
        <f t="shared" si="208"/>
        <v>0.50186047428573122</v>
      </c>
      <c r="AA343" s="79">
        <f t="shared" si="208"/>
        <v>0.50449734788732181</v>
      </c>
      <c r="AB343" s="79">
        <f t="shared" si="208"/>
        <v>0.50614583430151383</v>
      </c>
      <c r="AC343" s="79">
        <f t="shared" si="208"/>
        <v>0.50006861075452602</v>
      </c>
      <c r="AD343" s="79">
        <f t="shared" si="208"/>
        <v>0.50826950728981868</v>
      </c>
      <c r="AE343" s="79">
        <f t="shared" si="208"/>
        <v>0.51320059093266179</v>
      </c>
      <c r="AF343" s="79">
        <f t="shared" si="208"/>
        <v>0.50522009970507542</v>
      </c>
      <c r="AG343" s="30"/>
    </row>
    <row r="344" spans="1:33" x14ac:dyDescent="0.2">
      <c r="A344" s="44" t="s">
        <v>479</v>
      </c>
      <c r="B344" s="64"/>
      <c r="C344" s="28">
        <f t="shared" ref="C344:AF344" si="209">C343*C257</f>
        <v>1.3144015631960558E-5</v>
      </c>
      <c r="D344" s="28">
        <f t="shared" si="209"/>
        <v>1.2933692708967491E-5</v>
      </c>
      <c r="E344" s="28">
        <f t="shared" si="209"/>
        <v>1.3799806980229963E-5</v>
      </c>
      <c r="F344" s="28">
        <f t="shared" si="209"/>
        <v>1.2526058735192486E-5</v>
      </c>
      <c r="G344" s="28">
        <f t="shared" si="209"/>
        <v>2.0032411618549521E-5</v>
      </c>
      <c r="H344" s="28">
        <f t="shared" si="209"/>
        <v>2.6608020447704395E-5</v>
      </c>
      <c r="I344" s="28">
        <f t="shared" si="209"/>
        <v>1.0782776283146211E-5</v>
      </c>
      <c r="J344" s="28">
        <f t="shared" si="209"/>
        <v>3.7575981046490313E-5</v>
      </c>
      <c r="K344" s="28">
        <f t="shared" si="209"/>
        <v>1.2645090935993385E-5</v>
      </c>
      <c r="L344" s="28">
        <f t="shared" si="209"/>
        <v>8.9613671103236189E-6</v>
      </c>
      <c r="M344" s="28">
        <f t="shared" si="209"/>
        <v>6.5448792688631583E-6</v>
      </c>
      <c r="N344" s="28">
        <f t="shared" si="209"/>
        <v>1.0759831078647614E-5</v>
      </c>
      <c r="O344" s="28">
        <f t="shared" si="209"/>
        <v>1.1870413950206927E-5</v>
      </c>
      <c r="P344" s="28">
        <f t="shared" si="209"/>
        <v>5.9343699885158418E-5</v>
      </c>
      <c r="Q344" s="28">
        <f t="shared" si="209"/>
        <v>8.7113406091584843E-6</v>
      </c>
      <c r="R344" s="28">
        <f t="shared" si="209"/>
        <v>1.5970782274161956E-5</v>
      </c>
      <c r="S344" s="28">
        <f t="shared" si="209"/>
        <v>1.0901800548204246E-5</v>
      </c>
      <c r="T344" s="28">
        <f t="shared" si="209"/>
        <v>1.0971933574114362E-5</v>
      </c>
      <c r="U344" s="28">
        <f t="shared" si="209"/>
        <v>1.4848230366769823E-5</v>
      </c>
      <c r="V344" s="28">
        <f t="shared" si="209"/>
        <v>1.1602064710379518E-5</v>
      </c>
      <c r="W344" s="28">
        <f t="shared" si="209"/>
        <v>9.0438459173783215E-6</v>
      </c>
      <c r="X344" s="28">
        <f t="shared" si="209"/>
        <v>1.1273438528953358E-5</v>
      </c>
      <c r="Y344" s="28">
        <f t="shared" si="209"/>
        <v>9.9221730543042504E-6</v>
      </c>
      <c r="Z344" s="28">
        <f t="shared" si="209"/>
        <v>1.3584380660411894E-5</v>
      </c>
      <c r="AA344" s="28">
        <f t="shared" si="209"/>
        <v>1.0630187900595956E-5</v>
      </c>
      <c r="AB344" s="28">
        <f t="shared" si="209"/>
        <v>1.3398272869246786E-5</v>
      </c>
      <c r="AC344" s="28">
        <f t="shared" si="209"/>
        <v>1.3331395993622601E-5</v>
      </c>
      <c r="AD344" s="28">
        <f t="shared" si="209"/>
        <v>8.2285086807961578E-6</v>
      </c>
      <c r="AE344" s="28">
        <f t="shared" si="209"/>
        <v>2.0553100591279346E-5</v>
      </c>
      <c r="AF344" s="28">
        <f t="shared" si="209"/>
        <v>1.2730909141816841E-5</v>
      </c>
      <c r="AG344" s="28"/>
    </row>
    <row r="345" spans="1:33" x14ac:dyDescent="0.2">
      <c r="A345" s="45" t="s">
        <v>279</v>
      </c>
      <c r="B345" s="212"/>
      <c r="C345" s="79">
        <f>((C28)/(2*C28*(C166-C245)+3*C168*C26))-((2*C28*(C168*(C245-C26)+C28*(C166-C245)))/((2*C28*(C166-C245)+3*C168*C26)^2))</f>
        <v>-3.6265833032435345E-3</v>
      </c>
      <c r="D345" s="79">
        <f t="shared" ref="D345:AF345" si="210">((D28)/(2*D28*(D166-D245)+3*D168*D26))-((2*D28*(D168*(D245-D26)+D28*(D166-D245)))/((2*D28*(D166-D245)+3*D168*D26)^2))</f>
        <v>-3.6214716457074808E-3</v>
      </c>
      <c r="E345" s="79">
        <f t="shared" si="210"/>
        <v>-3.6212075660414455E-3</v>
      </c>
      <c r="F345" s="79">
        <f t="shared" si="210"/>
        <v>-3.6217887458480169E-3</v>
      </c>
      <c r="G345" s="79">
        <f t="shared" si="210"/>
        <v>-3.6225248102777752E-3</v>
      </c>
      <c r="H345" s="79">
        <f t="shared" si="210"/>
        <v>-3.6191032307914491E-3</v>
      </c>
      <c r="I345" s="79">
        <f t="shared" si="210"/>
        <v>-3.6214447076240272E-3</v>
      </c>
      <c r="J345" s="79">
        <f t="shared" si="210"/>
        <v>-3.6214808308119412E-3</v>
      </c>
      <c r="K345" s="79">
        <f t="shared" si="210"/>
        <v>-3.6520007067578179E-3</v>
      </c>
      <c r="L345" s="79">
        <f t="shared" si="210"/>
        <v>-3.6515369345478553E-3</v>
      </c>
      <c r="M345" s="79">
        <f t="shared" si="210"/>
        <v>-3.6550351799110917E-3</v>
      </c>
      <c r="N345" s="79">
        <f t="shared" si="210"/>
        <v>-3.6572109628952615E-3</v>
      </c>
      <c r="O345" s="79">
        <f t="shared" si="210"/>
        <v>-3.6409094937705213E-3</v>
      </c>
      <c r="P345" s="79">
        <f t="shared" si="210"/>
        <v>-3.6487501176765921E-3</v>
      </c>
      <c r="Q345" s="79">
        <f t="shared" si="210"/>
        <v>-3.6252966736309809E-3</v>
      </c>
      <c r="R345" s="79">
        <f t="shared" si="210"/>
        <v>-3.6325741921780031E-3</v>
      </c>
      <c r="S345" s="79">
        <f t="shared" si="210"/>
        <v>-3.6324897099268144E-3</v>
      </c>
      <c r="T345" s="79">
        <f t="shared" si="210"/>
        <v>-3.6275497188242895E-3</v>
      </c>
      <c r="U345" s="79">
        <f t="shared" si="210"/>
        <v>-3.6247996078706169E-3</v>
      </c>
      <c r="V345" s="79">
        <f t="shared" si="210"/>
        <v>-3.622827987352745E-3</v>
      </c>
      <c r="W345" s="79">
        <f t="shared" si="210"/>
        <v>-3.6221682671302574E-3</v>
      </c>
      <c r="X345" s="79">
        <f t="shared" si="210"/>
        <v>-3.6327446379438339E-3</v>
      </c>
      <c r="Y345" s="79">
        <f t="shared" si="210"/>
        <v>-3.6311125452183333E-3</v>
      </c>
      <c r="Z345" s="79">
        <f t="shared" si="210"/>
        <v>-3.6249626565457273E-3</v>
      </c>
      <c r="AA345" s="79">
        <f t="shared" si="210"/>
        <v>-3.662972603126079E-3</v>
      </c>
      <c r="AB345" s="79">
        <f t="shared" si="210"/>
        <v>-3.6702109420829465E-3</v>
      </c>
      <c r="AC345" s="79">
        <f t="shared" si="210"/>
        <v>-3.643461270480367E-3</v>
      </c>
      <c r="AD345" s="79">
        <f t="shared" si="210"/>
        <v>-3.679374900833162E-3</v>
      </c>
      <c r="AE345" s="79">
        <f t="shared" si="210"/>
        <v>-3.700955542619737E-3</v>
      </c>
      <c r="AF345" s="79">
        <f t="shared" si="210"/>
        <v>-3.6661627547272774E-3</v>
      </c>
      <c r="AG345" s="30"/>
    </row>
    <row r="346" spans="1:33" x14ac:dyDescent="0.2">
      <c r="A346" s="44" t="s">
        <v>479</v>
      </c>
      <c r="B346" s="64"/>
      <c r="C346" s="28">
        <f t="shared" ref="C346:AF346" si="211">C345*C267</f>
        <v>-6.5607129866347948E-9</v>
      </c>
      <c r="D346" s="28">
        <f t="shared" si="211"/>
        <v>-6.5514656827192819E-9</v>
      </c>
      <c r="E346" s="28">
        <f t="shared" si="211"/>
        <v>-6.5509879463074605E-9</v>
      </c>
      <c r="F346" s="28">
        <f t="shared" si="211"/>
        <v>-6.5520393364412903E-9</v>
      </c>
      <c r="G346" s="28">
        <f t="shared" si="211"/>
        <v>-6.5533709224161661E-9</v>
      </c>
      <c r="H346" s="28">
        <f t="shared" si="211"/>
        <v>-6.5471810739848154E-9</v>
      </c>
      <c r="I346" s="28">
        <f t="shared" si="211"/>
        <v>-6.5514169500640055E-9</v>
      </c>
      <c r="J346" s="28">
        <f t="shared" si="211"/>
        <v>-6.5514822991400507E-9</v>
      </c>
      <c r="K346" s="28">
        <f t="shared" si="211"/>
        <v>-1.4445420585376592E-9</v>
      </c>
      <c r="L346" s="28">
        <f t="shared" si="211"/>
        <v>-1.4443586143062185E-9</v>
      </c>
      <c r="M346" s="28">
        <f t="shared" si="211"/>
        <v>-1.4457423387258026E-9</v>
      </c>
      <c r="N346" s="28">
        <f t="shared" si="211"/>
        <v>-1.4466029656213746E-9</v>
      </c>
      <c r="O346" s="28">
        <f t="shared" si="211"/>
        <v>-1.4401549499561352E-9</v>
      </c>
      <c r="P346" s="28">
        <f t="shared" si="211"/>
        <v>-1.4432562940978646E-9</v>
      </c>
      <c r="Q346" s="28">
        <f t="shared" si="211"/>
        <v>-1.433979328110768E-9</v>
      </c>
      <c r="R346" s="28">
        <f t="shared" si="211"/>
        <v>-1.4398463386129488E-9</v>
      </c>
      <c r="S346" s="28">
        <f t="shared" si="211"/>
        <v>-1.4398128523154594E-9</v>
      </c>
      <c r="T346" s="28">
        <f t="shared" si="211"/>
        <v>-1.4378547840901587E-9</v>
      </c>
      <c r="U346" s="28">
        <f t="shared" si="211"/>
        <v>-1.4367647204113625E-9</v>
      </c>
      <c r="V346" s="28">
        <f t="shared" si="211"/>
        <v>-1.4359832276093973E-9</v>
      </c>
      <c r="W346" s="28">
        <f t="shared" si="211"/>
        <v>-1.4357217337770338E-9</v>
      </c>
      <c r="X346" s="28">
        <f t="shared" si="211"/>
        <v>-1.4399138983375076E-9</v>
      </c>
      <c r="Y346" s="28">
        <f t="shared" si="211"/>
        <v>-1.439266984438227E-9</v>
      </c>
      <c r="Z346" s="28">
        <f t="shared" si="211"/>
        <v>-1.4368293481451551E-9</v>
      </c>
      <c r="AA346" s="28">
        <f t="shared" si="211"/>
        <v>-6.6265434756519466E-9</v>
      </c>
      <c r="AB346" s="28">
        <f t="shared" si="211"/>
        <v>-6.6396380774920622E-9</v>
      </c>
      <c r="AC346" s="28">
        <f t="shared" si="211"/>
        <v>-6.5912462708805061E-9</v>
      </c>
      <c r="AD346" s="28">
        <f t="shared" si="211"/>
        <v>-6.6562162443654802E-9</v>
      </c>
      <c r="AE346" s="28">
        <f t="shared" si="211"/>
        <v>-6.6952569570667344E-9</v>
      </c>
      <c r="AF346" s="28">
        <f t="shared" si="211"/>
        <v>-6.6323146567580297E-9</v>
      </c>
      <c r="AG346" s="28"/>
    </row>
    <row r="347" spans="1:33" s="15" customFormat="1" x14ac:dyDescent="0.2">
      <c r="A347" s="44" t="s">
        <v>175</v>
      </c>
      <c r="B347" s="212"/>
      <c r="C347" s="79">
        <f>(C26*C28*((C256/C26)^2+(C257/C28)^2-(C258/C30)^2))/2</f>
        <v>1.7633177414675493E-11</v>
      </c>
      <c r="D347" s="79">
        <f t="shared" ref="D347:AF347" si="212">(D26*D28*((D256/D26)^2+(D257/D28)^2-(D258/D30)^2))/2</f>
        <v>-2.1255686986619113E-10</v>
      </c>
      <c r="E347" s="79">
        <f t="shared" si="212"/>
        <v>-6.0757948246244193E-13</v>
      </c>
      <c r="F347" s="79">
        <f t="shared" si="212"/>
        <v>-5.1822329989857023E-11</v>
      </c>
      <c r="G347" s="79">
        <f t="shared" si="212"/>
        <v>-2.1293072119464036E-11</v>
      </c>
      <c r="H347" s="79">
        <f t="shared" si="212"/>
        <v>-7.4744030322327878E-10</v>
      </c>
      <c r="I347" s="79">
        <f t="shared" si="212"/>
        <v>6.432133349817612E-11</v>
      </c>
      <c r="J347" s="79">
        <f t="shared" si="212"/>
        <v>5.1195054601574866E-10</v>
      </c>
      <c r="K347" s="79">
        <f t="shared" si="212"/>
        <v>-1.0730134552113958E-10</v>
      </c>
      <c r="L347" s="79">
        <f t="shared" si="212"/>
        <v>7.676785468628854E-11</v>
      </c>
      <c r="M347" s="79">
        <f t="shared" si="212"/>
        <v>2.5200447690361311E-11</v>
      </c>
      <c r="N347" s="79">
        <f t="shared" si="212"/>
        <v>1.6528638553413491E-11</v>
      </c>
      <c r="O347" s="79">
        <f t="shared" si="212"/>
        <v>5.4510946140565591E-11</v>
      </c>
      <c r="P347" s="79">
        <f t="shared" si="212"/>
        <v>4.6994791944760177E-9</v>
      </c>
      <c r="Q347" s="79">
        <f t="shared" si="212"/>
        <v>-2.391629412076296E-11</v>
      </c>
      <c r="R347" s="79">
        <f t="shared" si="212"/>
        <v>9.1767301199829061E-11</v>
      </c>
      <c r="S347" s="79">
        <f t="shared" si="212"/>
        <v>-1.6534856846468909E-11</v>
      </c>
      <c r="T347" s="79">
        <f t="shared" si="212"/>
        <v>5.209363722245238E-11</v>
      </c>
      <c r="U347" s="79">
        <f t="shared" si="212"/>
        <v>-1.5360140338012128E-12</v>
      </c>
      <c r="V347" s="79">
        <f t="shared" si="212"/>
        <v>-1.5203637549766787E-10</v>
      </c>
      <c r="W347" s="79">
        <f t="shared" si="212"/>
        <v>-3.484141694391401E-11</v>
      </c>
      <c r="X347" s="79">
        <f t="shared" si="212"/>
        <v>7.1743327361995824E-11</v>
      </c>
      <c r="Y347" s="79">
        <f t="shared" si="212"/>
        <v>7.1397238267602068E-11</v>
      </c>
      <c r="Z347" s="79">
        <f t="shared" si="212"/>
        <v>-1.4187978573701718E-10</v>
      </c>
      <c r="AA347" s="79">
        <f t="shared" si="212"/>
        <v>-5.5276690071855685E-11</v>
      </c>
      <c r="AB347" s="79">
        <f t="shared" si="212"/>
        <v>3.0832117149993582E-10</v>
      </c>
      <c r="AC347" s="79">
        <f t="shared" si="212"/>
        <v>1.5606184529663869E-11</v>
      </c>
      <c r="AD347" s="79">
        <f t="shared" si="212"/>
        <v>4.8305546877564158E-11</v>
      </c>
      <c r="AE347" s="79">
        <f t="shared" si="212"/>
        <v>1.1446338591051984E-9</v>
      </c>
      <c r="AF347" s="79">
        <f t="shared" si="212"/>
        <v>1.8370753823650049E-10</v>
      </c>
      <c r="AG347" s="30"/>
    </row>
    <row r="348" spans="1:33" x14ac:dyDescent="0.2">
      <c r="A348" s="6" t="s">
        <v>174</v>
      </c>
      <c r="B348" s="64"/>
      <c r="C348" s="28">
        <f t="shared" ref="C348:AF348" si="213">C347*C341*C343</f>
        <v>3.1856930822831774E-14</v>
      </c>
      <c r="D348" s="28">
        <f t="shared" si="213"/>
        <v>-3.8201075224510377E-13</v>
      </c>
      <c r="E348" s="28">
        <f t="shared" si="213"/>
        <v>-1.0921033770980526E-15</v>
      </c>
      <c r="F348" s="28">
        <f t="shared" si="213"/>
        <v>-9.3191143497839383E-14</v>
      </c>
      <c r="G348" s="28">
        <f t="shared" si="213"/>
        <v>-3.8301845198070384E-14</v>
      </c>
      <c r="H348" s="28">
        <f t="shared" si="213"/>
        <v>-1.3421833409768675E-12</v>
      </c>
      <c r="I348" s="28">
        <f t="shared" si="213"/>
        <v>1.1566709994789807E-13</v>
      </c>
      <c r="J348" s="28">
        <f t="shared" si="213"/>
        <v>9.204344770913926E-13</v>
      </c>
      <c r="K348" s="28">
        <f t="shared" si="213"/>
        <v>-2.0074744652540579E-13</v>
      </c>
      <c r="L348" s="28">
        <f t="shared" si="213"/>
        <v>1.435419234016574E-13</v>
      </c>
      <c r="M348" s="28">
        <f t="shared" si="213"/>
        <v>4.7267069039657231E-14</v>
      </c>
      <c r="N348" s="28">
        <f t="shared" si="213"/>
        <v>3.1065348812771328E-14</v>
      </c>
      <c r="O348" s="28">
        <f t="shared" si="213"/>
        <v>1.0098252918215072E-13</v>
      </c>
      <c r="P348" s="28">
        <f t="shared" si="213"/>
        <v>8.7698031863266951E-12</v>
      </c>
      <c r="Q348" s="28">
        <f t="shared" si="213"/>
        <v>-4.3663420571492734E-14</v>
      </c>
      <c r="R348" s="28">
        <f t="shared" si="213"/>
        <v>1.6874422096374525E-13</v>
      </c>
      <c r="S348" s="28">
        <f t="shared" si="213"/>
        <v>-3.0389773410659259E-14</v>
      </c>
      <c r="T348" s="28">
        <f t="shared" si="213"/>
        <v>9.5329123014034728E-14</v>
      </c>
      <c r="U348" s="28">
        <f t="shared" si="213"/>
        <v>-2.8036142094457458E-15</v>
      </c>
      <c r="V348" s="28">
        <f t="shared" si="213"/>
        <v>-2.7697275005205341E-13</v>
      </c>
      <c r="W348" s="28">
        <f t="shared" si="213"/>
        <v>-6.3423245470169E-14</v>
      </c>
      <c r="X348" s="28">
        <f t="shared" si="213"/>
        <v>1.3190470023074364E-13</v>
      </c>
      <c r="Y348" s="28">
        <f t="shared" si="213"/>
        <v>1.3101839656209476E-13</v>
      </c>
      <c r="Z348" s="28">
        <f t="shared" si="213"/>
        <v>-2.5895174472309097E-13</v>
      </c>
      <c r="AA348" s="28">
        <f t="shared" si="213"/>
        <v>-1.0327347402392638E-13</v>
      </c>
      <c r="AB348" s="28">
        <f t="shared" si="213"/>
        <v>5.7983518784196439E-13</v>
      </c>
      <c r="AC348" s="28">
        <f t="shared" si="213"/>
        <v>2.8637172689836328E-14</v>
      </c>
      <c r="AD348" s="28">
        <f t="shared" si="213"/>
        <v>9.1562685448083476E-14</v>
      </c>
      <c r="AE348" s="28">
        <f t="shared" si="213"/>
        <v>2.2117142698976609E-12</v>
      </c>
      <c r="AF348" s="28">
        <f t="shared" si="213"/>
        <v>3.4423222548256059E-13</v>
      </c>
      <c r="AG348" s="28"/>
    </row>
    <row r="349" spans="1:33" s="15" customFormat="1" x14ac:dyDescent="0.2">
      <c r="A349" s="44" t="s">
        <v>202</v>
      </c>
      <c r="B349" s="212"/>
      <c r="C349" s="79">
        <f>(C166*C168*((C267/C166)^2+(C268/C168)^2-(C269/C170)^2))/2</f>
        <v>1.301317390670941E-11</v>
      </c>
      <c r="D349" s="79">
        <f t="shared" ref="D349:AF349" si="214">(D166*D168*((D267/D166)^2+(D268/D168)^2-(D269/D170)^2))/2</f>
        <v>1.301317390670941E-11</v>
      </c>
      <c r="E349" s="79">
        <f t="shared" si="214"/>
        <v>1.301317390670941E-11</v>
      </c>
      <c r="F349" s="79">
        <f t="shared" si="214"/>
        <v>1.301317390670941E-11</v>
      </c>
      <c r="G349" s="79">
        <f t="shared" si="214"/>
        <v>1.301317390670941E-11</v>
      </c>
      <c r="H349" s="79">
        <f t="shared" si="214"/>
        <v>1.301317390670941E-11</v>
      </c>
      <c r="I349" s="79">
        <f t="shared" si="214"/>
        <v>1.301317390670941E-11</v>
      </c>
      <c r="J349" s="79">
        <f t="shared" si="214"/>
        <v>1.301317390670941E-11</v>
      </c>
      <c r="K349" s="79">
        <f t="shared" si="214"/>
        <v>-1.2646094947975691E-11</v>
      </c>
      <c r="L349" s="79">
        <f t="shared" si="214"/>
        <v>-1.2646094947975691E-11</v>
      </c>
      <c r="M349" s="79">
        <f t="shared" si="214"/>
        <v>-1.2646094947975691E-11</v>
      </c>
      <c r="N349" s="79">
        <f t="shared" si="214"/>
        <v>-1.2646094947975691E-11</v>
      </c>
      <c r="O349" s="79">
        <f t="shared" si="214"/>
        <v>-1.2646094947975691E-11</v>
      </c>
      <c r="P349" s="79">
        <f t="shared" si="214"/>
        <v>-1.2646094947975691E-11</v>
      </c>
      <c r="Q349" s="79">
        <f t="shared" si="214"/>
        <v>-1.2646094947975691E-11</v>
      </c>
      <c r="R349" s="79">
        <f t="shared" si="214"/>
        <v>-1.2684144215969229E-11</v>
      </c>
      <c r="S349" s="79">
        <f t="shared" si="214"/>
        <v>-1.2684144215969229E-11</v>
      </c>
      <c r="T349" s="79">
        <f t="shared" si="214"/>
        <v>-1.2684144215969229E-11</v>
      </c>
      <c r="U349" s="79">
        <f t="shared" si="214"/>
        <v>-1.2684144215969229E-11</v>
      </c>
      <c r="V349" s="79">
        <f t="shared" si="214"/>
        <v>-1.2684144215969229E-11</v>
      </c>
      <c r="W349" s="79">
        <f t="shared" si="214"/>
        <v>-1.2684144215969229E-11</v>
      </c>
      <c r="X349" s="79">
        <f t="shared" si="214"/>
        <v>-1.2684144215969229E-11</v>
      </c>
      <c r="Y349" s="79">
        <f t="shared" si="214"/>
        <v>-1.2684144215969229E-11</v>
      </c>
      <c r="Z349" s="79">
        <f t="shared" si="214"/>
        <v>-1.2684144215969229E-11</v>
      </c>
      <c r="AA349" s="79">
        <f t="shared" si="214"/>
        <v>1.301317390670941E-11</v>
      </c>
      <c r="AB349" s="79">
        <f t="shared" si="214"/>
        <v>1.301317390670941E-11</v>
      </c>
      <c r="AC349" s="79">
        <f t="shared" si="214"/>
        <v>1.301317390670941E-11</v>
      </c>
      <c r="AD349" s="79">
        <f t="shared" si="214"/>
        <v>1.301317390670941E-11</v>
      </c>
      <c r="AE349" s="79">
        <f t="shared" si="214"/>
        <v>1.301317390670941E-11</v>
      </c>
      <c r="AF349" s="79">
        <f t="shared" si="214"/>
        <v>1.301317390670941E-11</v>
      </c>
      <c r="AG349" s="30"/>
    </row>
    <row r="350" spans="1:33" x14ac:dyDescent="0.2">
      <c r="A350" s="6" t="s">
        <v>174</v>
      </c>
      <c r="B350" s="64"/>
      <c r="C350" s="28">
        <f t="shared" ref="C350:AF350" si="215">C349*C339*C345</f>
        <v>2.3432239382232355E-14</v>
      </c>
      <c r="D350" s="28">
        <f t="shared" si="215"/>
        <v>2.3366230602090355E-14</v>
      </c>
      <c r="E350" s="28">
        <f t="shared" si="215"/>
        <v>2.3362822970056876E-14</v>
      </c>
      <c r="F350" s="28">
        <f t="shared" si="215"/>
        <v>2.3370322728232364E-14</v>
      </c>
      <c r="G350" s="28">
        <f t="shared" si="215"/>
        <v>2.3379822902034227E-14</v>
      </c>
      <c r="H350" s="28">
        <f t="shared" si="215"/>
        <v>2.3335677921728155E-14</v>
      </c>
      <c r="I350" s="28">
        <f t="shared" si="215"/>
        <v>2.3365882986982185E-14</v>
      </c>
      <c r="J350" s="28">
        <f t="shared" si="215"/>
        <v>2.3366349129342306E-14</v>
      </c>
      <c r="K350" s="28">
        <f t="shared" si="215"/>
        <v>-2.3370051233840321E-14</v>
      </c>
      <c r="L350" s="28">
        <f t="shared" si="215"/>
        <v>-2.3364116025723986E-14</v>
      </c>
      <c r="M350" s="28">
        <f t="shared" si="215"/>
        <v>-2.3408904049583123E-14</v>
      </c>
      <c r="N350" s="28">
        <f t="shared" si="215"/>
        <v>-2.3436782224376948E-14</v>
      </c>
      <c r="O350" s="28">
        <f t="shared" si="215"/>
        <v>-2.3228315985195258E-14</v>
      </c>
      <c r="P350" s="28">
        <f t="shared" si="215"/>
        <v>-2.3328467109852092E-14</v>
      </c>
      <c r="Q350" s="28">
        <f t="shared" si="215"/>
        <v>-2.3029529419180995E-14</v>
      </c>
      <c r="R350" s="28">
        <f t="shared" si="215"/>
        <v>-2.3191650401627454E-14</v>
      </c>
      <c r="S350" s="28">
        <f t="shared" si="215"/>
        <v>-2.3190571684471142E-14</v>
      </c>
      <c r="T350" s="28">
        <f t="shared" si="215"/>
        <v>-2.312753870798881E-14</v>
      </c>
      <c r="U350" s="28">
        <f t="shared" si="215"/>
        <v>-2.3092485190845742E-14</v>
      </c>
      <c r="V350" s="28">
        <f t="shared" si="215"/>
        <v>-2.3067370845128675E-14</v>
      </c>
      <c r="W350" s="28">
        <f t="shared" si="215"/>
        <v>-2.3058970432261963E-14</v>
      </c>
      <c r="X350" s="28">
        <f t="shared" si="215"/>
        <v>-2.3193826825916601E-14</v>
      </c>
      <c r="Y350" s="28">
        <f t="shared" si="215"/>
        <v>-2.317299080449419E-14</v>
      </c>
      <c r="Z350" s="28">
        <f t="shared" si="215"/>
        <v>-2.3094562703649054E-14</v>
      </c>
      <c r="AA350" s="28">
        <f t="shared" si="215"/>
        <v>2.3904838874836821E-14</v>
      </c>
      <c r="AB350" s="28">
        <f t="shared" si="215"/>
        <v>2.3999408126320765E-14</v>
      </c>
      <c r="AC350" s="28">
        <f t="shared" si="215"/>
        <v>2.3650852235749387E-14</v>
      </c>
      <c r="AD350" s="28">
        <f t="shared" si="215"/>
        <v>2.4119403491679697E-14</v>
      </c>
      <c r="AE350" s="28">
        <f t="shared" si="215"/>
        <v>2.4403168370958925E-14</v>
      </c>
      <c r="AF350" s="28">
        <f t="shared" si="215"/>
        <v>2.3946495352478367E-14</v>
      </c>
      <c r="AG350" s="28"/>
    </row>
    <row r="351" spans="1:33" x14ac:dyDescent="0.2">
      <c r="A351" s="6" t="s">
        <v>468</v>
      </c>
      <c r="B351" s="64"/>
      <c r="C351" s="30">
        <f>(C168*(C26-C245)+C28*(C245-C166))/(-2*C28*(C166-C245)-3*C168*C26)</f>
        <v>8.977207724010566E-4</v>
      </c>
      <c r="D351" s="30">
        <f t="shared" ref="D351:AF351" si="216">(D168*(D26-D245)+D28*(D245-D166))/(-2*D28*(D166-D245)-3*D168*D26)</f>
        <v>7.5418377999554446E-4</v>
      </c>
      <c r="E351" s="30">
        <f t="shared" si="216"/>
        <v>8.5824070651780858E-4</v>
      </c>
      <c r="F351" s="30">
        <f t="shared" si="216"/>
        <v>8.3591527642644825E-4</v>
      </c>
      <c r="G351" s="30">
        <f t="shared" si="216"/>
        <v>7.2875260117511418E-4</v>
      </c>
      <c r="H351" s="30">
        <f t="shared" si="216"/>
        <v>1.1201006202239219E-3</v>
      </c>
      <c r="I351" s="30">
        <f t="shared" si="216"/>
        <v>9.2044358376370346E-4</v>
      </c>
      <c r="J351" s="30">
        <f t="shared" si="216"/>
        <v>8.5498887217104827E-4</v>
      </c>
      <c r="K351" s="30">
        <f t="shared" si="216"/>
        <v>8.2130923984435292E-4</v>
      </c>
      <c r="L351" s="30">
        <f t="shared" si="216"/>
        <v>7.8236839948635478E-4</v>
      </c>
      <c r="M351" s="30">
        <f t="shared" si="216"/>
        <v>7.6421940737198468E-4</v>
      </c>
      <c r="N351" s="30">
        <f t="shared" si="216"/>
        <v>7.8382309841712515E-4</v>
      </c>
      <c r="O351" s="30">
        <f t="shared" si="216"/>
        <v>8.8831125256811825E-4</v>
      </c>
      <c r="P351" s="30">
        <f t="shared" si="216"/>
        <v>9.3330814886403285E-4</v>
      </c>
      <c r="Q351" s="30">
        <f t="shared" si="216"/>
        <v>8.121768119519967E-4</v>
      </c>
      <c r="R351" s="30">
        <f t="shared" si="216"/>
        <v>9.4598656491480407E-4</v>
      </c>
      <c r="S351" s="30">
        <f t="shared" si="216"/>
        <v>8.3316911943689487E-4</v>
      </c>
      <c r="T351" s="30">
        <f t="shared" si="216"/>
        <v>8.8562421267319427E-4</v>
      </c>
      <c r="U351" s="30">
        <f t="shared" si="216"/>
        <v>8.7356326153036382E-4</v>
      </c>
      <c r="V351" s="30">
        <f t="shared" si="216"/>
        <v>8.4531020433877826E-4</v>
      </c>
      <c r="W351" s="30">
        <f t="shared" si="216"/>
        <v>7.9960145623763073E-4</v>
      </c>
      <c r="X351" s="30">
        <f t="shared" si="216"/>
        <v>8.6458747787079805E-4</v>
      </c>
      <c r="Y351" s="30">
        <f t="shared" si="216"/>
        <v>7.5336925828359432E-4</v>
      </c>
      <c r="Z351" s="30">
        <f t="shared" si="216"/>
        <v>8.172116980750075E-4</v>
      </c>
      <c r="AA351" s="30">
        <f t="shared" si="216"/>
        <v>9.9715861099821117E-4</v>
      </c>
      <c r="AB351" s="30">
        <f t="shared" si="216"/>
        <v>1.0067951354379287E-3</v>
      </c>
      <c r="AC351" s="30">
        <f t="shared" si="216"/>
        <v>9.2581602532847878E-4</v>
      </c>
      <c r="AD351" s="30">
        <f t="shared" si="216"/>
        <v>9.0700787106938962E-4</v>
      </c>
      <c r="AE351" s="30">
        <f t="shared" si="216"/>
        <v>8.8614123791773414E-4</v>
      </c>
      <c r="AF351" s="30">
        <f t="shared" si="216"/>
        <v>1.0129816962847753E-3</v>
      </c>
      <c r="AG351" s="30"/>
    </row>
    <row r="352" spans="1:33" x14ac:dyDescent="0.2">
      <c r="A352" s="31" t="s">
        <v>400</v>
      </c>
      <c r="B352" s="64"/>
      <c r="C352" s="30">
        <f>SQRT(C340*C340+C342*C342+C344*C344+C346*C346+2*C348+2*C350)</f>
        <v>5.1702200649465698E-5</v>
      </c>
      <c r="D352" s="30">
        <f t="shared" ref="D352:AF352" si="217">SQRT(D340*D340+D342*D342+D344*D344+D346*D346+2*D348+2*D350)</f>
        <v>5.157286929420401E-5</v>
      </c>
      <c r="E352" s="30">
        <f t="shared" si="217"/>
        <v>5.1800721957556901E-5</v>
      </c>
      <c r="F352" s="30">
        <f t="shared" si="217"/>
        <v>5.1482011419401861E-5</v>
      </c>
      <c r="G352" s="30">
        <f t="shared" si="217"/>
        <v>5.3813733734415329E-5</v>
      </c>
      <c r="H352" s="30">
        <f t="shared" si="217"/>
        <v>5.6527007454429709E-5</v>
      </c>
      <c r="I352" s="30">
        <f t="shared" si="217"/>
        <v>5.108529329491295E-5</v>
      </c>
      <c r="J352" s="30">
        <f t="shared" si="217"/>
        <v>6.2506629095832123E-5</v>
      </c>
      <c r="K352" s="30">
        <f t="shared" si="217"/>
        <v>3.0026970546842408E-5</v>
      </c>
      <c r="L352" s="30">
        <f t="shared" si="217"/>
        <v>2.8679660212393701E-5</v>
      </c>
      <c r="M352" s="30">
        <f t="shared" si="217"/>
        <v>2.8040683294395677E-5</v>
      </c>
      <c r="N352" s="30">
        <f t="shared" si="217"/>
        <v>2.9327043883088185E-5</v>
      </c>
      <c r="O352" s="30">
        <f t="shared" si="217"/>
        <v>2.9643298938927571E-5</v>
      </c>
      <c r="P352" s="30">
        <f t="shared" si="217"/>
        <v>6.5422743316036338E-5</v>
      </c>
      <c r="Q352" s="30">
        <f t="shared" si="217"/>
        <v>2.8409541967819088E-5</v>
      </c>
      <c r="R352" s="30">
        <f t="shared" si="217"/>
        <v>3.1458640333718533E-5</v>
      </c>
      <c r="S352" s="30">
        <f t="shared" si="217"/>
        <v>2.920608888885594E-5</v>
      </c>
      <c r="T352" s="30">
        <f t="shared" si="217"/>
        <v>2.920246267889503E-5</v>
      </c>
      <c r="U352" s="30">
        <f t="shared" si="217"/>
        <v>3.0847467421599708E-5</v>
      </c>
      <c r="V352" s="30">
        <f t="shared" si="217"/>
        <v>2.9399970630823377E-5</v>
      </c>
      <c r="W352" s="30">
        <f t="shared" si="217"/>
        <v>2.8490386839343348E-5</v>
      </c>
      <c r="X352" s="30">
        <f t="shared" si="217"/>
        <v>2.9354100077299797E-5</v>
      </c>
      <c r="Y352" s="30">
        <f t="shared" si="217"/>
        <v>2.8850657398587031E-5</v>
      </c>
      <c r="Z352" s="30">
        <f t="shared" si="217"/>
        <v>3.0252001014990495E-5</v>
      </c>
      <c r="AA352" s="30">
        <f t="shared" si="217"/>
        <v>5.1609235099119351E-5</v>
      </c>
      <c r="AB352" s="30">
        <f t="shared" si="217"/>
        <v>5.2359320190275076E-5</v>
      </c>
      <c r="AC352" s="30">
        <f t="shared" si="217"/>
        <v>5.1975002537607693E-5</v>
      </c>
      <c r="AD352" s="30">
        <f t="shared" si="217"/>
        <v>5.1395645614585662E-5</v>
      </c>
      <c r="AE352" s="30">
        <f t="shared" si="217"/>
        <v>5.505293279724142E-5</v>
      </c>
      <c r="AF352" s="30">
        <f t="shared" si="217"/>
        <v>5.2133825194359483E-5</v>
      </c>
      <c r="AG352" s="30"/>
    </row>
    <row r="353" spans="1:33" x14ac:dyDescent="0.2">
      <c r="A353" s="42" t="s">
        <v>401</v>
      </c>
      <c r="B353" s="44"/>
      <c r="C353" s="81"/>
      <c r="D353" s="81"/>
      <c r="E353" s="81"/>
      <c r="F353" s="81"/>
      <c r="G353" s="81"/>
      <c r="H353" s="81"/>
      <c r="I353" s="81"/>
      <c r="J353" s="81"/>
      <c r="K353" s="81"/>
      <c r="L353" s="81"/>
      <c r="M353" s="81"/>
      <c r="N353" s="81"/>
      <c r="O353" s="81"/>
      <c r="P353" s="81"/>
      <c r="Q353" s="81"/>
      <c r="R353" s="81"/>
      <c r="S353" s="81"/>
      <c r="T353" s="81"/>
      <c r="U353" s="81"/>
      <c r="V353" s="81"/>
      <c r="W353" s="81"/>
      <c r="X353" s="81"/>
      <c r="Y353" s="81"/>
      <c r="Z353" s="81"/>
      <c r="AA353" s="81"/>
      <c r="AB353" s="81"/>
      <c r="AC353" s="81"/>
      <c r="AD353" s="81"/>
      <c r="AE353" s="81"/>
      <c r="AF353" s="81"/>
      <c r="AG353" s="40"/>
    </row>
    <row r="354" spans="1:33" x14ac:dyDescent="0.2">
      <c r="A354" s="198" t="s">
        <v>402</v>
      </c>
      <c r="B354" s="212"/>
      <c r="C354" s="79">
        <f>1/(3*C28)</f>
        <v>0.33080190483676053</v>
      </c>
      <c r="D354" s="79">
        <f t="shared" ref="D354:AF354" si="218">1/(3*D28)</f>
        <v>0.33052158619953387</v>
      </c>
      <c r="E354" s="79">
        <f t="shared" si="218"/>
        <v>0.3304826888045122</v>
      </c>
      <c r="F354" s="79">
        <f t="shared" si="218"/>
        <v>0.33052306100712026</v>
      </c>
      <c r="G354" s="79">
        <f t="shared" si="218"/>
        <v>0.3305914409809812</v>
      </c>
      <c r="H354" s="79">
        <f t="shared" si="218"/>
        <v>0.33029688107591432</v>
      </c>
      <c r="I354" s="79">
        <f t="shared" si="218"/>
        <v>0.33048357347922197</v>
      </c>
      <c r="J354" s="79">
        <f t="shared" si="218"/>
        <v>0.33050008827657362</v>
      </c>
      <c r="K354" s="79">
        <f t="shared" si="218"/>
        <v>0.33636294767579022</v>
      </c>
      <c r="L354" s="79">
        <f t="shared" si="218"/>
        <v>0.33634331336930601</v>
      </c>
      <c r="M354" s="79">
        <f t="shared" si="218"/>
        <v>0.33655973292262009</v>
      </c>
      <c r="N354" s="79">
        <f t="shared" si="218"/>
        <v>0.33668735213154438</v>
      </c>
      <c r="O354" s="79">
        <f t="shared" si="218"/>
        <v>0.33567211537029124</v>
      </c>
      <c r="P354" s="79">
        <f t="shared" si="218"/>
        <v>0.3361406319898344</v>
      </c>
      <c r="Q354" s="79">
        <f t="shared" si="218"/>
        <v>0.33473017238459946</v>
      </c>
      <c r="R354" s="79">
        <f t="shared" si="218"/>
        <v>0.3351485279239369</v>
      </c>
      <c r="S354" s="79">
        <f t="shared" si="218"/>
        <v>0.33516822181872663</v>
      </c>
      <c r="T354" s="79">
        <f t="shared" si="218"/>
        <v>0.33485277131403102</v>
      </c>
      <c r="U354" s="79">
        <f t="shared" si="218"/>
        <v>0.33468590954013516</v>
      </c>
      <c r="V354" s="79">
        <f t="shared" si="218"/>
        <v>0.33457046450281142</v>
      </c>
      <c r="W354" s="79">
        <f t="shared" si="218"/>
        <v>0.33453983451953634</v>
      </c>
      <c r="X354" s="79">
        <f t="shared" si="218"/>
        <v>0.33517694731789965</v>
      </c>
      <c r="Y354" s="79">
        <f t="shared" si="218"/>
        <v>0.33510122350717797</v>
      </c>
      <c r="Z354" s="79">
        <f t="shared" si="218"/>
        <v>0.3347084293620185</v>
      </c>
      <c r="AA354" s="79">
        <f t="shared" si="218"/>
        <v>0.3329743869442075</v>
      </c>
      <c r="AB354" s="79">
        <f t="shared" si="218"/>
        <v>0.33340357479847188</v>
      </c>
      <c r="AC354" s="79">
        <f t="shared" si="218"/>
        <v>0.33181884575752685</v>
      </c>
      <c r="AD354" s="79">
        <f t="shared" si="218"/>
        <v>0.33396859169001647</v>
      </c>
      <c r="AE354" s="79">
        <f t="shared" si="218"/>
        <v>0.33524236090020876</v>
      </c>
      <c r="AF354" s="79">
        <f t="shared" si="218"/>
        <v>0.33316125554484438</v>
      </c>
      <c r="AG354" s="79"/>
    </row>
    <row r="355" spans="1:33" x14ac:dyDescent="0.2">
      <c r="A355" s="44" t="s">
        <v>479</v>
      </c>
      <c r="B355" s="64"/>
      <c r="C355" s="28">
        <f>C354*C268</f>
        <v>3.3313931605936069E-5</v>
      </c>
      <c r="D355" s="28">
        <f t="shared" ref="D355:AF355" si="219">D354*D268</f>
        <v>3.328570167203334E-5</v>
      </c>
      <c r="E355" s="28">
        <f t="shared" si="219"/>
        <v>3.3281784448043837E-5</v>
      </c>
      <c r="F355" s="28">
        <f t="shared" si="219"/>
        <v>3.3285850194875402E-5</v>
      </c>
      <c r="G355" s="28">
        <f t="shared" si="219"/>
        <v>3.3292736508826778E-5</v>
      </c>
      <c r="H355" s="28">
        <f t="shared" si="219"/>
        <v>3.3263072385411009E-5</v>
      </c>
      <c r="I355" s="28">
        <f t="shared" si="219"/>
        <v>3.3281873540616593E-5</v>
      </c>
      <c r="J355" s="28">
        <f t="shared" si="219"/>
        <v>3.3283536689532652E-5</v>
      </c>
      <c r="K355" s="28">
        <f t="shared" si="219"/>
        <v>1.8108597465919549E-5</v>
      </c>
      <c r="L355" s="28">
        <f t="shared" si="219"/>
        <v>1.8107540423950146E-5</v>
      </c>
      <c r="M355" s="28">
        <f t="shared" si="219"/>
        <v>1.8119191691135784E-5</v>
      </c>
      <c r="N355" s="28">
        <f t="shared" si="219"/>
        <v>1.8126062260261476E-5</v>
      </c>
      <c r="O355" s="28">
        <f t="shared" si="219"/>
        <v>1.8071405485580524E-5</v>
      </c>
      <c r="P355" s="28">
        <f t="shared" si="219"/>
        <v>1.8096628771700546E-5</v>
      </c>
      <c r="Q355" s="28">
        <f t="shared" si="219"/>
        <v>1.8020694589860285E-5</v>
      </c>
      <c r="R355" s="28">
        <f t="shared" si="219"/>
        <v>1.8043198740650239E-5</v>
      </c>
      <c r="S355" s="28">
        <f t="shared" si="219"/>
        <v>1.8044258989549047E-5</v>
      </c>
      <c r="T355" s="28">
        <f t="shared" si="219"/>
        <v>1.8027276261967582E-5</v>
      </c>
      <c r="U355" s="28">
        <f t="shared" si="219"/>
        <v>1.8018293020515589E-5</v>
      </c>
      <c r="V355" s="28">
        <f t="shared" si="219"/>
        <v>1.8012077872369312E-5</v>
      </c>
      <c r="W355" s="28">
        <f t="shared" si="219"/>
        <v>1.801042886355797E-5</v>
      </c>
      <c r="X355" s="28">
        <f t="shared" si="219"/>
        <v>1.8044728739234852E-5</v>
      </c>
      <c r="Y355" s="28">
        <f t="shared" si="219"/>
        <v>1.8040652039943601E-5</v>
      </c>
      <c r="Z355" s="28">
        <f t="shared" si="219"/>
        <v>1.8019505407227721E-5</v>
      </c>
      <c r="AA355" s="28">
        <f t="shared" si="219"/>
        <v>3.3532714869527984E-5</v>
      </c>
      <c r="AB355" s="28">
        <f t="shared" si="219"/>
        <v>3.3575936914546491E-5</v>
      </c>
      <c r="AC355" s="28">
        <f t="shared" si="219"/>
        <v>3.3416344257696358E-5</v>
      </c>
      <c r="AD355" s="28">
        <f t="shared" si="219"/>
        <v>3.3632837838652121E-5</v>
      </c>
      <c r="AE355" s="28">
        <f t="shared" si="219"/>
        <v>3.3761114791504113E-5</v>
      </c>
      <c r="AF355" s="28">
        <f t="shared" si="219"/>
        <v>3.3551533768965657E-5</v>
      </c>
      <c r="AG355" s="28"/>
    </row>
    <row r="356" spans="1:33" x14ac:dyDescent="0.2">
      <c r="A356" s="45" t="s">
        <v>403</v>
      </c>
      <c r="B356" s="212"/>
      <c r="C356" s="79">
        <f>C168/(3*C28^2)</f>
        <v>0.33060936098535632</v>
      </c>
      <c r="D356" s="79">
        <f t="shared" ref="D356:AF356" si="220">D168/(3*D28^2)</f>
        <v>0.33004928743214806</v>
      </c>
      <c r="E356" s="79">
        <f t="shared" si="220"/>
        <v>0.32997160837805178</v>
      </c>
      <c r="F356" s="79">
        <f t="shared" si="220"/>
        <v>0.33005223283904001</v>
      </c>
      <c r="G356" s="79">
        <f t="shared" si="220"/>
        <v>0.33018881209959494</v>
      </c>
      <c r="H356" s="79">
        <f t="shared" si="220"/>
        <v>0.3296006719171089</v>
      </c>
      <c r="I356" s="79">
        <f t="shared" si="220"/>
        <v>0.32997337499359614</v>
      </c>
      <c r="J356" s="79">
        <f t="shared" si="220"/>
        <v>0.33000635442141352</v>
      </c>
      <c r="K356" s="79">
        <f t="shared" si="220"/>
        <v>0.3377439724692029</v>
      </c>
      <c r="L356" s="79">
        <f t="shared" si="220"/>
        <v>0.33770454377962766</v>
      </c>
      <c r="M356" s="79">
        <f t="shared" si="220"/>
        <v>0.33813927446759656</v>
      </c>
      <c r="N356" s="79">
        <f t="shared" si="220"/>
        <v>0.33839575938864463</v>
      </c>
      <c r="O356" s="79">
        <f t="shared" si="220"/>
        <v>0.33635805975552424</v>
      </c>
      <c r="P356" s="79">
        <f t="shared" si="220"/>
        <v>0.33729766308916292</v>
      </c>
      <c r="Q356" s="79">
        <f t="shared" si="220"/>
        <v>0.33447297269744602</v>
      </c>
      <c r="R356" s="79">
        <f t="shared" si="220"/>
        <v>0.33530956333596801</v>
      </c>
      <c r="S356" s="79">
        <f t="shared" si="220"/>
        <v>0.33534897120877682</v>
      </c>
      <c r="T356" s="79">
        <f t="shared" si="220"/>
        <v>0.33471802702020703</v>
      </c>
      <c r="U356" s="79">
        <f t="shared" si="220"/>
        <v>0.33438452087838494</v>
      </c>
      <c r="V356" s="79">
        <f t="shared" si="220"/>
        <v>0.33415387850823675</v>
      </c>
      <c r="W356" s="79">
        <f t="shared" si="220"/>
        <v>0.33409269761941335</v>
      </c>
      <c r="X356" s="79">
        <f t="shared" si="220"/>
        <v>0.33536643184536569</v>
      </c>
      <c r="Y356" s="79">
        <f t="shared" si="220"/>
        <v>0.33521491572385381</v>
      </c>
      <c r="Z356" s="79">
        <f t="shared" si="220"/>
        <v>0.33442952147732813</v>
      </c>
      <c r="AA356" s="79">
        <f t="shared" si="220"/>
        <v>0.33496605528767981</v>
      </c>
      <c r="AB356" s="79">
        <f t="shared" si="220"/>
        <v>0.33583012183553318</v>
      </c>
      <c r="AC356" s="79">
        <f t="shared" si="220"/>
        <v>0.332645183430749</v>
      </c>
      <c r="AD356" s="79">
        <f t="shared" si="220"/>
        <v>0.33696934462540051</v>
      </c>
      <c r="AE356" s="79">
        <f t="shared" si="220"/>
        <v>0.33954467487980389</v>
      </c>
      <c r="AF356" s="79">
        <f t="shared" si="220"/>
        <v>0.3353421334777153</v>
      </c>
      <c r="AG356" s="79"/>
    </row>
    <row r="357" spans="1:33" x14ac:dyDescent="0.2">
      <c r="A357" s="44" t="s">
        <v>479</v>
      </c>
      <c r="B357" s="64"/>
      <c r="C357" s="28">
        <f>C356*C257</f>
        <v>8.7571575786276665E-6</v>
      </c>
      <c r="D357" s="28">
        <f t="shared" ref="D357:AF357" si="221">D356*D257</f>
        <v>8.6218811341500586E-6</v>
      </c>
      <c r="E357" s="28">
        <f t="shared" si="221"/>
        <v>9.198839934687934E-6</v>
      </c>
      <c r="F357" s="28">
        <f t="shared" si="221"/>
        <v>8.3494496244212037E-6</v>
      </c>
      <c r="G357" s="28">
        <f t="shared" si="221"/>
        <v>1.3352980844213574E-5</v>
      </c>
      <c r="H357" s="28">
        <f t="shared" si="221"/>
        <v>1.7737026752927991E-5</v>
      </c>
      <c r="I357" s="28">
        <f t="shared" si="221"/>
        <v>7.1872601965256668E-6</v>
      </c>
      <c r="J357" s="28">
        <f t="shared" si="221"/>
        <v>2.504727424500579E-5</v>
      </c>
      <c r="K357" s="28">
        <f t="shared" si="221"/>
        <v>8.4053873723817827E-6</v>
      </c>
      <c r="L357" s="28">
        <f t="shared" si="221"/>
        <v>5.9571680123908438E-6</v>
      </c>
      <c r="M357" s="28">
        <f t="shared" si="221"/>
        <v>4.3494136406098914E-6</v>
      </c>
      <c r="N357" s="28">
        <f t="shared" si="221"/>
        <v>7.1489246899277954E-6</v>
      </c>
      <c r="O357" s="28">
        <f t="shared" si="221"/>
        <v>7.8982290791467376E-6</v>
      </c>
      <c r="P357" s="28">
        <f t="shared" si="221"/>
        <v>3.9455721502461537E-5</v>
      </c>
      <c r="Q357" s="28">
        <f t="shared" si="221"/>
        <v>5.8049005388733089E-6</v>
      </c>
      <c r="R357" s="28">
        <f t="shared" si="221"/>
        <v>1.0634265867811286E-5</v>
      </c>
      <c r="S357" s="28">
        <f t="shared" si="221"/>
        <v>7.2596415332378288E-6</v>
      </c>
      <c r="T357" s="28">
        <f t="shared" si="221"/>
        <v>7.3094078536339943E-6</v>
      </c>
      <c r="U357" s="28">
        <f t="shared" si="221"/>
        <v>9.8943353353417027E-6</v>
      </c>
      <c r="V357" s="28">
        <f t="shared" si="221"/>
        <v>7.7327446715854815E-6</v>
      </c>
      <c r="W357" s="28">
        <f t="shared" si="221"/>
        <v>6.028244694319449E-6</v>
      </c>
      <c r="X357" s="28">
        <f t="shared" si="221"/>
        <v>7.5067883912545679E-6</v>
      </c>
      <c r="Y357" s="28">
        <f t="shared" si="221"/>
        <v>6.6084803465040185E-6</v>
      </c>
      <c r="Z357" s="28">
        <f t="shared" si="221"/>
        <v>9.0523525095161814E-6</v>
      </c>
      <c r="AA357" s="28">
        <f t="shared" si="221"/>
        <v>7.0580194780820425E-6</v>
      </c>
      <c r="AB357" s="28">
        <f t="shared" si="221"/>
        <v>8.889816541262818E-6</v>
      </c>
      <c r="AC357" s="28">
        <f t="shared" si="221"/>
        <v>8.8680324465784428E-6</v>
      </c>
      <c r="AD357" s="28">
        <f t="shared" si="221"/>
        <v>5.455285311521269E-6</v>
      </c>
      <c r="AE357" s="28">
        <f t="shared" si="221"/>
        <v>1.35983784534526E-5</v>
      </c>
      <c r="AF357" s="28">
        <f t="shared" si="221"/>
        <v>8.4501987059105128E-6</v>
      </c>
      <c r="AG357" s="28"/>
    </row>
    <row r="358" spans="1:33" x14ac:dyDescent="0.2">
      <c r="A358" s="6" t="s">
        <v>404</v>
      </c>
      <c r="B358" s="64"/>
      <c r="C358" s="30">
        <f>(1-(C168/C28))/3</f>
        <v>1.9401727397268717E-4</v>
      </c>
      <c r="D358" s="30">
        <f t="shared" ref="D358:AF358" si="222">(1-(D168/D28))/3</f>
        <v>4.7631661299992373E-4</v>
      </c>
      <c r="E358" s="30">
        <f t="shared" si="222"/>
        <v>5.1548885289498525E-4</v>
      </c>
      <c r="F358" s="30">
        <f t="shared" si="222"/>
        <v>4.7483138457934021E-4</v>
      </c>
      <c r="G358" s="30">
        <f t="shared" si="222"/>
        <v>4.0596824506559476E-4</v>
      </c>
      <c r="H358" s="30">
        <f t="shared" si="222"/>
        <v>7.0260947922325589E-4</v>
      </c>
      <c r="I358" s="30">
        <f t="shared" si="222"/>
        <v>5.1459792716742247E-4</v>
      </c>
      <c r="J358" s="30">
        <f t="shared" si="222"/>
        <v>4.9796643800688789E-4</v>
      </c>
      <c r="K358" s="30">
        <f t="shared" si="222"/>
        <v>-1.3685859307189425E-3</v>
      </c>
      <c r="L358" s="30">
        <f t="shared" si="222"/>
        <v>-1.3490485824197613E-3</v>
      </c>
      <c r="M358" s="30">
        <f t="shared" si="222"/>
        <v>-1.5643994121143183E-3</v>
      </c>
      <c r="N358" s="30">
        <f t="shared" si="222"/>
        <v>-1.6913884115183169E-3</v>
      </c>
      <c r="O358" s="30">
        <f t="shared" si="222"/>
        <v>-6.8116509516665447E-4</v>
      </c>
      <c r="P358" s="30">
        <f t="shared" si="222"/>
        <v>-1.1473680846806704E-3</v>
      </c>
      <c r="Q358" s="30">
        <f t="shared" si="222"/>
        <v>2.5612638514297775E-4</v>
      </c>
      <c r="R358" s="30">
        <f t="shared" si="222"/>
        <v>-1.6016322974632402E-4</v>
      </c>
      <c r="S358" s="30">
        <f t="shared" si="222"/>
        <v>-1.7975987209191877E-4</v>
      </c>
      <c r="T358" s="30">
        <f t="shared" si="222"/>
        <v>1.3413287407404439E-4</v>
      </c>
      <c r="U358" s="30">
        <f t="shared" si="222"/>
        <v>3.0017065070982635E-4</v>
      </c>
      <c r="V358" s="30">
        <f t="shared" si="222"/>
        <v>4.1504559704012384E-4</v>
      </c>
      <c r="W358" s="30">
        <f t="shared" si="222"/>
        <v>4.4552432324955021E-4</v>
      </c>
      <c r="X358" s="30">
        <f t="shared" si="222"/>
        <v>-1.8844228298150098E-4</v>
      </c>
      <c r="Y358" s="30">
        <f t="shared" si="222"/>
        <v>-1.1309241178529088E-4</v>
      </c>
      <c r="Z358" s="30">
        <f t="shared" si="222"/>
        <v>2.7776203627138951E-4</v>
      </c>
      <c r="AA358" s="30">
        <f t="shared" si="222"/>
        <v>-1.993815361946464E-3</v>
      </c>
      <c r="AB358" s="30">
        <f t="shared" si="222"/>
        <v>-2.4260358121315218E-3</v>
      </c>
      <c r="AC358" s="30">
        <f t="shared" si="222"/>
        <v>-8.301092436302504E-4</v>
      </c>
      <c r="AD358" s="30">
        <f t="shared" si="222"/>
        <v>-2.995045053187928E-3</v>
      </c>
      <c r="AE358" s="30">
        <f t="shared" si="222"/>
        <v>-4.2778145817077284E-3</v>
      </c>
      <c r="AF358" s="30">
        <f t="shared" si="222"/>
        <v>-2.1820043563232825E-3</v>
      </c>
      <c r="AG358" s="30"/>
    </row>
    <row r="359" spans="1:33" x14ac:dyDescent="0.2">
      <c r="A359" s="31" t="s">
        <v>405</v>
      </c>
      <c r="B359" s="64"/>
      <c r="C359" s="30">
        <f>SQRT(C355*C355+C357*C357)</f>
        <v>3.4445694185222949E-5</v>
      </c>
      <c r="D359" s="30">
        <f t="shared" ref="D359:AF359" si="223">SQRT(D355*D355+D357*D357)</f>
        <v>3.4384222691388789E-5</v>
      </c>
      <c r="E359" s="30">
        <f t="shared" si="223"/>
        <v>3.4529637012138751E-5</v>
      </c>
      <c r="F359" s="30">
        <f t="shared" si="223"/>
        <v>3.4317067651919714E-5</v>
      </c>
      <c r="G359" s="30">
        <f t="shared" si="223"/>
        <v>3.58707178862105E-5</v>
      </c>
      <c r="H359" s="30">
        <f t="shared" si="223"/>
        <v>3.7696605981854336E-5</v>
      </c>
      <c r="I359" s="30">
        <f t="shared" si="223"/>
        <v>3.4049079510409045E-5</v>
      </c>
      <c r="J359" s="30">
        <f t="shared" si="223"/>
        <v>4.1655248908966999E-5</v>
      </c>
      <c r="K359" s="30">
        <f t="shared" si="223"/>
        <v>1.9964264050109713E-5</v>
      </c>
      <c r="L359" s="30">
        <f t="shared" si="223"/>
        <v>1.9062289236417577E-5</v>
      </c>
      <c r="M359" s="30">
        <f t="shared" si="223"/>
        <v>1.8633907442006024E-5</v>
      </c>
      <c r="N359" s="30">
        <f t="shared" si="223"/>
        <v>1.9484898185136471E-5</v>
      </c>
      <c r="O359" s="30">
        <f t="shared" si="223"/>
        <v>1.9722011023497299E-5</v>
      </c>
      <c r="P359" s="30">
        <f t="shared" si="223"/>
        <v>4.340785565056797E-5</v>
      </c>
      <c r="Q359" s="30">
        <f t="shared" si="223"/>
        <v>1.8932572560728017E-5</v>
      </c>
      <c r="R359" s="30">
        <f t="shared" si="223"/>
        <v>2.0943844712513949E-5</v>
      </c>
      <c r="S359" s="30">
        <f t="shared" si="223"/>
        <v>1.9449876032330728E-5</v>
      </c>
      <c r="T359" s="30">
        <f t="shared" si="223"/>
        <v>1.9452766708004962E-5</v>
      </c>
      <c r="U359" s="30">
        <f t="shared" si="223"/>
        <v>2.0556185324649908E-5</v>
      </c>
      <c r="V359" s="30">
        <f t="shared" si="223"/>
        <v>1.9601793015850104E-5</v>
      </c>
      <c r="W359" s="30">
        <f t="shared" si="223"/>
        <v>1.89925059416569E-5</v>
      </c>
      <c r="X359" s="30">
        <f t="shared" si="223"/>
        <v>1.9543902047023325E-5</v>
      </c>
      <c r="Y359" s="30">
        <f t="shared" si="223"/>
        <v>1.9212941953705348E-5</v>
      </c>
      <c r="Z359" s="30">
        <f t="shared" si="223"/>
        <v>2.0165506715122557E-5</v>
      </c>
      <c r="AA359" s="30">
        <f t="shared" si="223"/>
        <v>3.4267456944950684E-5</v>
      </c>
      <c r="AB359" s="30">
        <f t="shared" si="223"/>
        <v>3.4732871718689134E-5</v>
      </c>
      <c r="AC359" s="30">
        <f t="shared" si="223"/>
        <v>3.4573025077688016E-5</v>
      </c>
      <c r="AD359" s="30">
        <f t="shared" si="223"/>
        <v>3.4072392327383907E-5</v>
      </c>
      <c r="AE359" s="30">
        <f t="shared" si="223"/>
        <v>3.6396823604930717E-5</v>
      </c>
      <c r="AF359" s="30">
        <f t="shared" si="223"/>
        <v>3.4599295894850443E-5</v>
      </c>
      <c r="AG359" s="30"/>
    </row>
    <row r="360" spans="1:33" x14ac:dyDescent="0.2">
      <c r="A360" s="42" t="s">
        <v>513</v>
      </c>
      <c r="B360" s="44"/>
      <c r="C360" s="81"/>
      <c r="D360" s="81"/>
      <c r="E360" s="81"/>
      <c r="F360" s="81"/>
      <c r="G360" s="81"/>
      <c r="H360" s="81"/>
      <c r="I360" s="81"/>
      <c r="J360" s="81"/>
      <c r="K360" s="81"/>
      <c r="L360" s="81"/>
      <c r="M360" s="81"/>
      <c r="N360" s="81"/>
      <c r="O360" s="81"/>
      <c r="P360" s="81"/>
      <c r="Q360" s="81"/>
      <c r="R360" s="81"/>
      <c r="S360" s="81"/>
      <c r="T360" s="81"/>
      <c r="U360" s="81"/>
      <c r="V360" s="81"/>
      <c r="W360" s="81"/>
      <c r="X360" s="81"/>
      <c r="Y360" s="81"/>
      <c r="Z360" s="81"/>
      <c r="AA360" s="81"/>
      <c r="AB360" s="81"/>
      <c r="AC360" s="81"/>
      <c r="AD360" s="81"/>
      <c r="AE360" s="81"/>
      <c r="AF360" s="81"/>
      <c r="AG360" s="40"/>
    </row>
    <row r="361" spans="1:33" x14ac:dyDescent="0.2">
      <c r="A361" s="198" t="s">
        <v>280</v>
      </c>
      <c r="B361" s="212"/>
      <c r="C361" s="79">
        <f>(C173*(1+3*C224))/(1-(1/C245)*C26*(1+3*C224))+(((C173*C26*(1+3*C224)-(C166*C173)-C219)/(1-(1/C245)*C26*(1+3*C224)))*((1+3*C224)/C245))</f>
        <v>7.9491904559282066E-12</v>
      </c>
      <c r="D361" s="79">
        <f t="shared" ref="D361:AF361" si="224">(D173*(1+3*D224))/(1-(1/D245)*D26*(1+3*D224))+(((D173*D26*(1+3*D224)-(D166*D173)-D219)/(1-(1/D245)*D26*(1+3*D224)))*((1+3*D224)/D245))</f>
        <v>6.9271749693108762E-12</v>
      </c>
      <c r="E361" s="79">
        <f t="shared" si="224"/>
        <v>6.4685507778307235E-12</v>
      </c>
      <c r="F361" s="79">
        <f t="shared" si="224"/>
        <v>7.3932804700673775E-12</v>
      </c>
      <c r="G361" s="79">
        <f t="shared" si="224"/>
        <v>9.8543931828868236E-12</v>
      </c>
      <c r="H361" s="79">
        <f t="shared" si="224"/>
        <v>7.8602324003135799E-12</v>
      </c>
      <c r="I361" s="79">
        <f t="shared" si="224"/>
        <v>5.9321181547976578E-12</v>
      </c>
      <c r="J361" s="79">
        <f t="shared" si="224"/>
        <v>6.6231104339031787E-12</v>
      </c>
      <c r="K361" s="79">
        <f t="shared" si="224"/>
        <v>1.3385200212253269E-11</v>
      </c>
      <c r="L361" s="79">
        <f t="shared" si="224"/>
        <v>9.7309163836730419E-12</v>
      </c>
      <c r="M361" s="79">
        <f t="shared" si="224"/>
        <v>8.1184463625276858E-12</v>
      </c>
      <c r="N361" s="79">
        <f t="shared" si="224"/>
        <v>1.1883802066165619E-11</v>
      </c>
      <c r="O361" s="79">
        <f t="shared" si="224"/>
        <v>5.354914451195034E-12</v>
      </c>
      <c r="P361" s="79">
        <f t="shared" si="224"/>
        <v>8.0065649615229791E-12</v>
      </c>
      <c r="Q361" s="79">
        <f t="shared" si="224"/>
        <v>9.5396873450502875E-12</v>
      </c>
      <c r="R361" s="79">
        <f t="shared" si="224"/>
        <v>5.3404254701991999E-12</v>
      </c>
      <c r="S361" s="79">
        <f t="shared" si="224"/>
        <v>5.5382317700488351E-12</v>
      </c>
      <c r="T361" s="79">
        <f t="shared" si="224"/>
        <v>7.9428883739065284E-12</v>
      </c>
      <c r="U361" s="79">
        <f t="shared" si="224"/>
        <v>7.2312730462197704E-12</v>
      </c>
      <c r="V361" s="79">
        <f t="shared" si="224"/>
        <v>7.1245149210672424E-12</v>
      </c>
      <c r="W361" s="79">
        <f t="shared" si="224"/>
        <v>1.0430663339532296E-11</v>
      </c>
      <c r="X361" s="79">
        <f t="shared" si="224"/>
        <v>5.0361234081028303E-12</v>
      </c>
      <c r="Y361" s="79">
        <f t="shared" si="224"/>
        <v>4.1245507737033365E-12</v>
      </c>
      <c r="Z361" s="79">
        <f t="shared" si="224"/>
        <v>8.4342943343198747E-12</v>
      </c>
      <c r="AA361" s="79">
        <f t="shared" si="224"/>
        <v>1.0171622951820434E-11</v>
      </c>
      <c r="AB361" s="79">
        <f t="shared" si="224"/>
        <v>1.074746267941532E-11</v>
      </c>
      <c r="AC361" s="79">
        <f t="shared" si="224"/>
        <v>1.0640210939114254E-11</v>
      </c>
      <c r="AD361" s="79">
        <f t="shared" si="224"/>
        <v>1.0618759003197428E-11</v>
      </c>
      <c r="AE361" s="79">
        <f t="shared" si="224"/>
        <v>7.1315669146647712E-12</v>
      </c>
      <c r="AF361" s="79">
        <f t="shared" si="224"/>
        <v>1.2220887119805605E-11</v>
      </c>
      <c r="AG361" s="30"/>
    </row>
    <row r="362" spans="1:33" x14ac:dyDescent="0.2">
      <c r="A362" s="44" t="s">
        <v>479</v>
      </c>
      <c r="B362" s="64"/>
      <c r="C362" s="28">
        <f t="shared" ref="C362:AF362" si="225">C361*C256</f>
        <v>1.0793750551773431E-16</v>
      </c>
      <c r="D362" s="28">
        <f t="shared" si="225"/>
        <v>7.4839513579724263E-17</v>
      </c>
      <c r="E362" s="28">
        <f t="shared" si="225"/>
        <v>9.7362462104511321E-17</v>
      </c>
      <c r="F362" s="28">
        <f t="shared" si="225"/>
        <v>9.4820374369975597E-17</v>
      </c>
      <c r="G362" s="28">
        <f t="shared" si="225"/>
        <v>1.6654273704509827E-16</v>
      </c>
      <c r="H362" s="28">
        <f t="shared" si="225"/>
        <v>2.8483589351991847E-16</v>
      </c>
      <c r="I362" s="28">
        <f t="shared" si="225"/>
        <v>6.8516451619481642E-17</v>
      </c>
      <c r="J362" s="28">
        <f t="shared" si="225"/>
        <v>3.0457179051065684E-16</v>
      </c>
      <c r="K362" s="28">
        <f t="shared" si="225"/>
        <v>3.2425814534484454E-16</v>
      </c>
      <c r="L362" s="28">
        <f t="shared" si="225"/>
        <v>1.6770281823015112E-16</v>
      </c>
      <c r="M362" s="28">
        <f t="shared" si="225"/>
        <v>9.8462192801928378E-17</v>
      </c>
      <c r="N362" s="28">
        <f t="shared" si="225"/>
        <v>2.5349083675264373E-16</v>
      </c>
      <c r="O362" s="28">
        <f t="shared" si="225"/>
        <v>8.1327498243519487E-17</v>
      </c>
      <c r="P362" s="28">
        <f t="shared" si="225"/>
        <v>7.7674588056966999E-16</v>
      </c>
      <c r="Q362" s="28">
        <f t="shared" si="225"/>
        <v>8.3620952369629918E-17</v>
      </c>
      <c r="R362" s="28">
        <f t="shared" si="225"/>
        <v>9.7724443605530345E-17</v>
      </c>
      <c r="S362" s="28">
        <f t="shared" si="225"/>
        <v>8.4386076012224941E-17</v>
      </c>
      <c r="T362" s="28">
        <f t="shared" si="225"/>
        <v>8.1017440584393003E-17</v>
      </c>
      <c r="U362" s="28">
        <f t="shared" si="225"/>
        <v>1.1293137232548863E-16</v>
      </c>
      <c r="V362" s="28">
        <f t="shared" si="225"/>
        <v>5.3384747872404038E-17</v>
      </c>
      <c r="W362" s="28">
        <f t="shared" si="225"/>
        <v>4.2762660027871472E-17</v>
      </c>
      <c r="X362" s="28">
        <f t="shared" si="225"/>
        <v>5.9322105039411822E-17</v>
      </c>
      <c r="Y362" s="28">
        <f t="shared" si="225"/>
        <v>4.2639864848860716E-17</v>
      </c>
      <c r="Z362" s="28">
        <f t="shared" si="225"/>
        <v>9.3231759537660707E-17</v>
      </c>
      <c r="AA362" s="28">
        <f t="shared" si="225"/>
        <v>1.9126616459591478E-16</v>
      </c>
      <c r="AB362" s="28">
        <f t="shared" si="225"/>
        <v>4.1179297293727136E-16</v>
      </c>
      <c r="AC362" s="28">
        <f t="shared" si="225"/>
        <v>1.9747357161405749E-16</v>
      </c>
      <c r="AD362" s="28">
        <f t="shared" si="225"/>
        <v>3.1586032591024166E-16</v>
      </c>
      <c r="AE362" s="28">
        <f t="shared" si="225"/>
        <v>5.5196682848108792E-16</v>
      </c>
      <c r="AF362" s="28">
        <f t="shared" si="225"/>
        <v>3.6696119548863172E-16</v>
      </c>
      <c r="AG362" s="28"/>
    </row>
    <row r="363" spans="1:33" x14ac:dyDescent="0.2">
      <c r="A363" s="198" t="s">
        <v>281</v>
      </c>
      <c r="B363" s="212"/>
      <c r="C363" s="79">
        <f>-C173/(1-(1/C245)*C26*(1+3*C224))</f>
        <v>-7.9182284564031536E-12</v>
      </c>
      <c r="D363" s="79">
        <f t="shared" ref="D363:AF363" si="226">-D173/(1-(1/D245)*D26*(1+3*D224))</f>
        <v>-6.9109899001247295E-12</v>
      </c>
      <c r="E363" s="79">
        <f t="shared" si="226"/>
        <v>-6.450842680114492E-12</v>
      </c>
      <c r="F363" s="79">
        <f t="shared" si="226"/>
        <v>-7.3729624803650704E-12</v>
      </c>
      <c r="G363" s="79">
        <f t="shared" si="226"/>
        <v>-9.830539976735075E-12</v>
      </c>
      <c r="H363" s="79">
        <f t="shared" si="226"/>
        <v>-7.8328713435393304E-12</v>
      </c>
      <c r="I363" s="79">
        <f t="shared" si="226"/>
        <v>-5.9140252899425154E-12</v>
      </c>
      <c r="J363" s="79">
        <f t="shared" si="226"/>
        <v>-6.6047388582426073E-12</v>
      </c>
      <c r="K363" s="79">
        <f t="shared" si="226"/>
        <v>-1.3276299977787701E-11</v>
      </c>
      <c r="L363" s="79">
        <f t="shared" si="226"/>
        <v>-9.6541741585344919E-12</v>
      </c>
      <c r="M363" s="79">
        <f t="shared" si="226"/>
        <v>-8.0500291097895772E-12</v>
      </c>
      <c r="N363" s="79">
        <f t="shared" si="226"/>
        <v>-1.1778094304968149E-11</v>
      </c>
      <c r="O363" s="79">
        <f t="shared" si="226"/>
        <v>-5.3204015062087578E-12</v>
      </c>
      <c r="P363" s="79">
        <f t="shared" si="226"/>
        <v>-7.9421947355647976E-12</v>
      </c>
      <c r="Q363" s="79">
        <f t="shared" si="226"/>
        <v>-9.5083573857663944E-12</v>
      </c>
      <c r="R363" s="79">
        <f t="shared" si="226"/>
        <v>-5.3127168344038191E-12</v>
      </c>
      <c r="S363" s="79">
        <f t="shared" si="226"/>
        <v>-5.5122745606249929E-12</v>
      </c>
      <c r="T363" s="79">
        <f t="shared" si="226"/>
        <v>-7.911010221435127E-12</v>
      </c>
      <c r="U363" s="79">
        <f t="shared" si="226"/>
        <v>-7.2062676347484948E-12</v>
      </c>
      <c r="V363" s="79">
        <f t="shared" si="226"/>
        <v>-7.1033273266971168E-12</v>
      </c>
      <c r="W363" s="79">
        <f t="shared" si="226"/>
        <v>-1.040296863880392E-11</v>
      </c>
      <c r="X363" s="79">
        <f t="shared" si="226"/>
        <v>-5.0116045863466533E-12</v>
      </c>
      <c r="Y363" s="79">
        <f t="shared" si="226"/>
        <v>-4.107672052599115E-12</v>
      </c>
      <c r="Z363" s="79">
        <f t="shared" si="226"/>
        <v>-8.4069287931732939E-12</v>
      </c>
      <c r="AA363" s="79">
        <f t="shared" si="226"/>
        <v>-1.00615181824776E-11</v>
      </c>
      <c r="AB363" s="79">
        <f t="shared" si="226"/>
        <v>-1.0617164402521365E-11</v>
      </c>
      <c r="AC363" s="79">
        <f t="shared" si="226"/>
        <v>-1.0564984512052479E-11</v>
      </c>
      <c r="AD363" s="79">
        <f t="shared" si="226"/>
        <v>-1.0477804150762675E-11</v>
      </c>
      <c r="AE363" s="79">
        <f t="shared" si="226"/>
        <v>-7.0115514557480708E-12</v>
      </c>
      <c r="AF363" s="79">
        <f t="shared" si="226"/>
        <v>-1.2080980850910958E-11</v>
      </c>
      <c r="AG363" s="30"/>
    </row>
    <row r="364" spans="1:33" x14ac:dyDescent="0.2">
      <c r="A364" s="44" t="s">
        <v>479</v>
      </c>
      <c r="B364" s="64"/>
      <c r="C364" s="28">
        <f t="shared" ref="C364:AF364" si="227">C363*C267</f>
        <v>-1.4324563899746392E-17</v>
      </c>
      <c r="D364" s="28">
        <f t="shared" si="227"/>
        <v>-1.2502407196243977E-17</v>
      </c>
      <c r="E364" s="28">
        <f t="shared" si="227"/>
        <v>-1.16699724802442E-17</v>
      </c>
      <c r="F364" s="28">
        <f t="shared" si="227"/>
        <v>-1.3338144101540278E-17</v>
      </c>
      <c r="G364" s="28">
        <f t="shared" si="227"/>
        <v>-1.7784053445929432E-17</v>
      </c>
      <c r="H364" s="28">
        <f t="shared" si="227"/>
        <v>-1.4170147615315125E-17</v>
      </c>
      <c r="I364" s="28">
        <f t="shared" si="227"/>
        <v>-1.0698836695219553E-17</v>
      </c>
      <c r="J364" s="28">
        <f t="shared" si="227"/>
        <v>-1.1948380163182453E-17</v>
      </c>
      <c r="K364" s="28">
        <f t="shared" si="227"/>
        <v>-5.2514156594189079E-18</v>
      </c>
      <c r="L364" s="28">
        <f t="shared" si="227"/>
        <v>-3.8186905568349079E-18</v>
      </c>
      <c r="M364" s="28">
        <f t="shared" si="227"/>
        <v>-3.1841739789440478E-18</v>
      </c>
      <c r="N364" s="28">
        <f t="shared" si="227"/>
        <v>-4.6588032038071694E-18</v>
      </c>
      <c r="O364" s="28">
        <f t="shared" si="227"/>
        <v>-2.1044748786066778E-18</v>
      </c>
      <c r="P364" s="28">
        <f t="shared" si="227"/>
        <v>-3.1415202936269728E-18</v>
      </c>
      <c r="Q364" s="28">
        <f t="shared" si="227"/>
        <v>-3.7610130047156072E-18</v>
      </c>
      <c r="R364" s="28">
        <f t="shared" si="227"/>
        <v>-2.1058058218261092E-18</v>
      </c>
      <c r="S364" s="28">
        <f t="shared" si="227"/>
        <v>-2.1849046774145768E-18</v>
      </c>
      <c r="T364" s="28">
        <f t="shared" si="227"/>
        <v>-3.1356934502784183E-18</v>
      </c>
      <c r="U364" s="28">
        <f t="shared" si="227"/>
        <v>-2.8563540673993684E-18</v>
      </c>
      <c r="V364" s="28">
        <f t="shared" si="227"/>
        <v>-2.8155515351447976E-18</v>
      </c>
      <c r="W364" s="28">
        <f t="shared" si="227"/>
        <v>-4.123433001737621E-18</v>
      </c>
      <c r="X364" s="28">
        <f t="shared" si="227"/>
        <v>-1.986453719173892E-18</v>
      </c>
      <c r="Y364" s="28">
        <f t="shared" si="227"/>
        <v>-1.6281612576263532E-18</v>
      </c>
      <c r="Z364" s="28">
        <f t="shared" si="227"/>
        <v>-3.3322610912931328E-18</v>
      </c>
      <c r="AA364" s="28">
        <f t="shared" si="227"/>
        <v>-1.8201907273439546E-17</v>
      </c>
      <c r="AB364" s="28">
        <f t="shared" si="227"/>
        <v>-1.9207105573601375E-17</v>
      </c>
      <c r="AC364" s="28">
        <f t="shared" si="227"/>
        <v>-1.9112708931799649E-17</v>
      </c>
      <c r="AD364" s="28">
        <f t="shared" si="227"/>
        <v>-1.895499427845583E-17</v>
      </c>
      <c r="AE364" s="28">
        <f t="shared" si="227"/>
        <v>-1.2684329255870784E-17</v>
      </c>
      <c r="AF364" s="28">
        <f t="shared" si="227"/>
        <v>-2.1855239858676228E-17</v>
      </c>
      <c r="AG364" s="28"/>
    </row>
    <row r="365" spans="1:33" x14ac:dyDescent="0.2">
      <c r="A365" s="198" t="s">
        <v>408</v>
      </c>
      <c r="B365" s="212"/>
      <c r="C365" s="79">
        <f>(3*C173*C26)/(1-(1/C245)*C26*(1+3*C224))+(((C173*C26*(1+3*C224)-(C166*C173)-C219)/(1-(1/C245)*C26*(1+3*C224)))*((3*C26)/C245))</f>
        <v>4.0318840860601083E-12</v>
      </c>
      <c r="D365" s="79">
        <f t="shared" ref="D365:AF365" si="228">(3*D173*D26)/(1-(1/D245)*D26*(1+3*D224))+(((D173*D26*(1+3*D224)-(D166*D173)-D219)/(1-(1/D245)*D26*(1+3*D224)))*((3*D26)/D245))</f>
        <v>2.8031878484465892E-13</v>
      </c>
      <c r="E365" s="79">
        <f t="shared" si="228"/>
        <v>5.0315367528574287E-13</v>
      </c>
      <c r="F365" s="79">
        <f t="shared" si="228"/>
        <v>8.1070804697352443E-13</v>
      </c>
      <c r="G365" s="79">
        <f t="shared" si="228"/>
        <v>1.0496328702652611E-12</v>
      </c>
      <c r="H365" s="79">
        <f t="shared" si="228"/>
        <v>4.8893544251637162E-13</v>
      </c>
      <c r="I365" s="79">
        <f t="shared" si="228"/>
        <v>7.7183371576506361E-13</v>
      </c>
      <c r="J365" s="79">
        <f t="shared" si="228"/>
        <v>6.4089723172600755E-13</v>
      </c>
      <c r="K365" s="79">
        <f t="shared" si="228"/>
        <v>3.1663376595597197E-11</v>
      </c>
      <c r="L365" s="79">
        <f t="shared" si="228"/>
        <v>2.2481071796574824E-11</v>
      </c>
      <c r="M365" s="79">
        <f t="shared" si="228"/>
        <v>2.0774551729796645E-11</v>
      </c>
      <c r="N365" s="79">
        <f t="shared" si="228"/>
        <v>3.2440100780836067E-11</v>
      </c>
      <c r="O365" s="79">
        <f t="shared" si="228"/>
        <v>8.448531064604217E-12</v>
      </c>
      <c r="P365" s="79">
        <f t="shared" si="228"/>
        <v>1.7496770323977663E-11</v>
      </c>
      <c r="Q365" s="79">
        <f t="shared" si="228"/>
        <v>3.4514986917028013E-12</v>
      </c>
      <c r="R365" s="79">
        <f t="shared" si="228"/>
        <v>5.2577412093023412E-12</v>
      </c>
      <c r="S365" s="79">
        <f t="shared" si="228"/>
        <v>5.0757524671773698E-12</v>
      </c>
      <c r="T365" s="79">
        <f t="shared" si="228"/>
        <v>4.5484185964748944E-12</v>
      </c>
      <c r="U365" s="79">
        <f t="shared" si="228"/>
        <v>2.5879581998751523E-12</v>
      </c>
      <c r="V365" s="79">
        <f t="shared" si="228"/>
        <v>1.3734458883513141E-12</v>
      </c>
      <c r="W365" s="79">
        <f t="shared" si="228"/>
        <v>1.2253310776805937E-12</v>
      </c>
      <c r="X365" s="79">
        <f t="shared" si="228"/>
        <v>4.7986797004654419E-12</v>
      </c>
      <c r="Y365" s="79">
        <f t="shared" si="228"/>
        <v>3.1721528274459343E-12</v>
      </c>
      <c r="Z365" s="79">
        <f t="shared" si="228"/>
        <v>2.8613082940602065E-12</v>
      </c>
      <c r="AA365" s="79">
        <f t="shared" si="228"/>
        <v>3.3236706457305158E-11</v>
      </c>
      <c r="AB365" s="79">
        <f t="shared" si="228"/>
        <v>4.0843981336648152E-11</v>
      </c>
      <c r="AC365" s="79">
        <f t="shared" si="228"/>
        <v>1.9038667714195559E-11</v>
      </c>
      <c r="AD365" s="79">
        <f t="shared" si="228"/>
        <v>4.6837387510227827E-11</v>
      </c>
      <c r="AE365" s="79">
        <f t="shared" si="228"/>
        <v>4.2368451299387711E-11</v>
      </c>
      <c r="AF365" s="79">
        <f t="shared" si="228"/>
        <v>4.288285460758401E-11</v>
      </c>
      <c r="AG365" s="30"/>
    </row>
    <row r="366" spans="1:33" x14ac:dyDescent="0.2">
      <c r="A366" s="44" t="s">
        <v>479</v>
      </c>
      <c r="B366" s="64"/>
      <c r="C366" s="28">
        <f>C365*C352</f>
        <v>2.0845728001286734E-16</v>
      </c>
      <c r="D366" s="28">
        <f t="shared" ref="D366:AF366" si="229">D365*D352</f>
        <v>1.4456844051503692E-17</v>
      </c>
      <c r="E366" s="28">
        <f t="shared" si="229"/>
        <v>2.6063723635399637E-17</v>
      </c>
      <c r="F366" s="28">
        <f t="shared" si="229"/>
        <v>4.1736880932091966E-17</v>
      </c>
      <c r="G366" s="28">
        <f t="shared" si="229"/>
        <v>5.648466379934487E-17</v>
      </c>
      <c r="H366" s="28">
        <f t="shared" si="229"/>
        <v>2.7638057403857826E-17</v>
      </c>
      <c r="I366" s="28">
        <f t="shared" si="229"/>
        <v>3.9429351744760753E-17</v>
      </c>
      <c r="J366" s="28">
        <f t="shared" si="229"/>
        <v>4.0060325552043125E-17</v>
      </c>
      <c r="K366" s="28">
        <f t="shared" si="229"/>
        <v>9.5075527644957624E-16</v>
      </c>
      <c r="L366" s="28">
        <f t="shared" si="229"/>
        <v>6.4474950033619316E-16</v>
      </c>
      <c r="M366" s="28">
        <f t="shared" si="229"/>
        <v>5.825326256382676E-16</v>
      </c>
      <c r="N366" s="28">
        <f t="shared" si="229"/>
        <v>9.5137225917138258E-16</v>
      </c>
      <c r="O366" s="28">
        <f t="shared" si="229"/>
        <v>2.5044233194287883E-16</v>
      </c>
      <c r="P366" s="28">
        <f t="shared" si="229"/>
        <v>1.1446867137652326E-15</v>
      </c>
      <c r="Q366" s="28">
        <f t="shared" si="229"/>
        <v>9.8055496933803412E-17</v>
      </c>
      <c r="R366" s="28">
        <f t="shared" si="229"/>
        <v>1.6540138967121269E-16</v>
      </c>
      <c r="S366" s="28">
        <f t="shared" si="229"/>
        <v>1.4824287773421211E-16</v>
      </c>
      <c r="T366" s="28">
        <f t="shared" si="229"/>
        <v>1.3282502431155021E-16</v>
      </c>
      <c r="U366" s="28">
        <f t="shared" si="229"/>
        <v>7.983195625911058E-17</v>
      </c>
      <c r="V366" s="28">
        <f t="shared" si="229"/>
        <v>4.0379268780553758E-17</v>
      </c>
      <c r="W366" s="28">
        <f t="shared" si="229"/>
        <v>3.4910156409389586E-17</v>
      </c>
      <c r="X366" s="28">
        <f t="shared" si="229"/>
        <v>1.408609241663696E-16</v>
      </c>
      <c r="Y366" s="28">
        <f t="shared" si="229"/>
        <v>9.1518694440601815E-17</v>
      </c>
      <c r="Z366" s="28">
        <f t="shared" si="229"/>
        <v>8.6560301416110086E-17</v>
      </c>
      <c r="AA366" s="28">
        <f t="shared" si="229"/>
        <v>1.7153209974754801E-15</v>
      </c>
      <c r="AB366" s="28">
        <f t="shared" si="229"/>
        <v>2.1385630966511798E-15</v>
      </c>
      <c r="AC366" s="28">
        <f t="shared" si="229"/>
        <v>9.895348027579838E-16</v>
      </c>
      <c r="AD366" s="28">
        <f t="shared" si="229"/>
        <v>2.4072377699886902E-15</v>
      </c>
      <c r="AE366" s="28">
        <f t="shared" si="229"/>
        <v>2.3325075021083875E-15</v>
      </c>
      <c r="AF366" s="28">
        <f t="shared" si="229"/>
        <v>2.2356472459469179E-15</v>
      </c>
      <c r="AG366" s="28"/>
    </row>
    <row r="367" spans="1:33" x14ac:dyDescent="0.2">
      <c r="A367" s="198" t="s">
        <v>314</v>
      </c>
      <c r="B367" s="212"/>
      <c r="C367" s="79">
        <f>-1/(1-(1/C245)*C26*(1+3*C224))</f>
        <v>-1.0012343389934477</v>
      </c>
      <c r="D367" s="79">
        <f t="shared" ref="D367:AF367" si="230">-1/(1-(1/D245)*D26*(1+3*D224))</f>
        <v>-1.0000982831809537</v>
      </c>
      <c r="E367" s="79">
        <f t="shared" si="230"/>
        <v>-1.0001890543727352</v>
      </c>
      <c r="F367" s="79">
        <f t="shared" si="230"/>
        <v>-1.0002664992369994</v>
      </c>
      <c r="G367" s="79">
        <f t="shared" si="230"/>
        <v>-1.00025869869047</v>
      </c>
      <c r="H367" s="79">
        <f t="shared" si="230"/>
        <v>-1.0001514164940981</v>
      </c>
      <c r="I367" s="79">
        <f t="shared" si="230"/>
        <v>-1.0003163908861135</v>
      </c>
      <c r="J367" s="79">
        <f t="shared" si="230"/>
        <v>-1.0002351966066723</v>
      </c>
      <c r="K367" s="79">
        <f t="shared" si="230"/>
        <v>-1.005780301061399</v>
      </c>
      <c r="L367" s="79">
        <f t="shared" si="230"/>
        <v>-1.0056431412278946</v>
      </c>
      <c r="M367" s="79">
        <f t="shared" si="230"/>
        <v>-1.0062536384374083</v>
      </c>
      <c r="N367" s="79">
        <f t="shared" si="230"/>
        <v>-1.0066747266339462</v>
      </c>
      <c r="O367" s="79">
        <f t="shared" si="230"/>
        <v>-1.0038493405085007</v>
      </c>
      <c r="P367" s="79">
        <f t="shared" si="230"/>
        <v>-1.0053411054816668</v>
      </c>
      <c r="Q367" s="79">
        <f t="shared" si="230"/>
        <v>-1.0008797245327554</v>
      </c>
      <c r="R367" s="79">
        <f t="shared" si="230"/>
        <v>-1.0023994027177017</v>
      </c>
      <c r="S367" s="79">
        <f t="shared" si="230"/>
        <v>-1.0022317382954531</v>
      </c>
      <c r="T367" s="79">
        <f t="shared" si="230"/>
        <v>-1.0013936989158387</v>
      </c>
      <c r="U367" s="79">
        <f t="shared" si="230"/>
        <v>-1.0008705048261799</v>
      </c>
      <c r="V367" s="79">
        <f t="shared" si="230"/>
        <v>-1.0004686375629741</v>
      </c>
      <c r="W367" s="79">
        <f t="shared" si="230"/>
        <v>-1.0002854460388384</v>
      </c>
      <c r="X367" s="79">
        <f t="shared" si="230"/>
        <v>-1.0023209172693306</v>
      </c>
      <c r="Y367" s="79">
        <f t="shared" si="230"/>
        <v>-1.0018712323412473</v>
      </c>
      <c r="Z367" s="79">
        <f t="shared" si="230"/>
        <v>-1.0008248563301541</v>
      </c>
      <c r="AA367" s="79">
        <f t="shared" si="230"/>
        <v>-1.0080105950888196</v>
      </c>
      <c r="AB367" s="79">
        <f t="shared" si="230"/>
        <v>-1.0093293636409877</v>
      </c>
      <c r="AC367" s="79">
        <f t="shared" si="230"/>
        <v>-1.0043688399413351</v>
      </c>
      <c r="AD367" s="79">
        <f t="shared" si="230"/>
        <v>-1.0108377231164234</v>
      </c>
      <c r="AE367" s="79">
        <f t="shared" si="230"/>
        <v>-1.0146506759041864</v>
      </c>
      <c r="AF367" s="79">
        <f t="shared" si="230"/>
        <v>-1.0086082832237051</v>
      </c>
      <c r="AG367" s="30"/>
    </row>
    <row r="368" spans="1:33" x14ac:dyDescent="0.2">
      <c r="A368" s="44" t="s">
        <v>479</v>
      </c>
      <c r="B368" s="64"/>
      <c r="C368" s="28">
        <f t="shared" ref="C368:AF368" si="231">C367*C279</f>
        <v>-7.8297137631113855E-17</v>
      </c>
      <c r="D368" s="28">
        <f t="shared" si="231"/>
        <v>-7.8208297371802637E-17</v>
      </c>
      <c r="E368" s="28">
        <f t="shared" si="231"/>
        <v>-7.8215395734512612E-17</v>
      </c>
      <c r="F368" s="28">
        <f t="shared" si="231"/>
        <v>-7.8221451970260786E-17</v>
      </c>
      <c r="G368" s="28">
        <f t="shared" si="231"/>
        <v>-7.8220841962751631E-17</v>
      </c>
      <c r="H368" s="28">
        <f t="shared" si="231"/>
        <v>-7.8212452429385111E-17</v>
      </c>
      <c r="I368" s="28">
        <f t="shared" si="231"/>
        <v>-7.8225353527733598E-17</v>
      </c>
      <c r="J368" s="28">
        <f t="shared" si="231"/>
        <v>-7.8219004085425554E-17</v>
      </c>
      <c r="K368" s="28">
        <f t="shared" si="231"/>
        <v>-7.865263464498778E-17</v>
      </c>
      <c r="L368" s="28">
        <f t="shared" si="231"/>
        <v>-7.8641908662125304E-17</v>
      </c>
      <c r="M368" s="28">
        <f t="shared" si="231"/>
        <v>-7.8689649917269203E-17</v>
      </c>
      <c r="N368" s="28">
        <f t="shared" si="231"/>
        <v>-7.8722579271762086E-17</v>
      </c>
      <c r="O368" s="28">
        <f t="shared" si="231"/>
        <v>-7.850163234883948E-17</v>
      </c>
      <c r="P368" s="28">
        <f t="shared" si="231"/>
        <v>-7.8618289282055221E-17</v>
      </c>
      <c r="Q368" s="28">
        <f t="shared" si="231"/>
        <v>-7.8269406563417232E-17</v>
      </c>
      <c r="R368" s="28">
        <f t="shared" si="231"/>
        <v>-7.8388246326864978E-17</v>
      </c>
      <c r="S368" s="28">
        <f t="shared" si="231"/>
        <v>-7.8375134866507113E-17</v>
      </c>
      <c r="T368" s="28">
        <f t="shared" si="231"/>
        <v>-7.8309599674504091E-17</v>
      </c>
      <c r="U368" s="28">
        <f t="shared" si="231"/>
        <v>-7.8268685576724563E-17</v>
      </c>
      <c r="V368" s="28">
        <f t="shared" si="231"/>
        <v>-7.8237259310973131E-17</v>
      </c>
      <c r="W368" s="28">
        <f t="shared" si="231"/>
        <v>-7.8222933621751832E-17</v>
      </c>
      <c r="X368" s="28">
        <f t="shared" si="231"/>
        <v>-7.8382108716803248E-17</v>
      </c>
      <c r="Y368" s="28">
        <f t="shared" si="231"/>
        <v>-7.8346943080414693E-17</v>
      </c>
      <c r="Z368" s="28">
        <f t="shared" si="231"/>
        <v>-7.8265115836418228E-17</v>
      </c>
      <c r="AA368" s="28">
        <f t="shared" si="231"/>
        <v>-7.8827045001906177E-17</v>
      </c>
      <c r="AB368" s="28">
        <f t="shared" si="231"/>
        <v>-7.8930173509200974E-17</v>
      </c>
      <c r="AC368" s="28">
        <f t="shared" si="231"/>
        <v>-7.8542257522195813E-17</v>
      </c>
      <c r="AD368" s="28">
        <f t="shared" si="231"/>
        <v>-7.9048128142642839E-17</v>
      </c>
      <c r="AE368" s="28">
        <f t="shared" si="231"/>
        <v>-7.9346303382521804E-17</v>
      </c>
      <c r="AF368" s="28">
        <f t="shared" si="231"/>
        <v>-7.8873784579580522E-17</v>
      </c>
      <c r="AG368" s="28"/>
    </row>
    <row r="369" spans="1:33" x14ac:dyDescent="0.2">
      <c r="A369" s="6" t="s">
        <v>411</v>
      </c>
      <c r="B369" s="64"/>
      <c r="C369" s="30">
        <f>((C173*C26*(1+3*C351))-(C166*C173)-C219)/(1-(1/C245)*C26*(1+3*C351))</f>
        <v>1.3251703239785275E-12</v>
      </c>
      <c r="D369" s="30">
        <f t="shared" ref="D369:AF369" si="232">((D173*D26*(1+3*D351))-(D166*D173)-D219)/(1-(1/D245)*D26*(1+3*D351))</f>
        <v>7.5470175210622346E-14</v>
      </c>
      <c r="E369" s="30">
        <f t="shared" si="232"/>
        <v>1.5113690019623194E-13</v>
      </c>
      <c r="F369" s="30">
        <f t="shared" si="232"/>
        <v>2.5147932032629668E-13</v>
      </c>
      <c r="G369" s="30">
        <f t="shared" si="232"/>
        <v>3.2483985818970817E-13</v>
      </c>
      <c r="H369" s="30">
        <f t="shared" si="232"/>
        <v>1.4294857840390749E-13</v>
      </c>
      <c r="I369" s="30">
        <f t="shared" si="232"/>
        <v>2.4231473888442934E-13</v>
      </c>
      <c r="J369" s="30">
        <f t="shared" si="232"/>
        <v>1.9675211549283839E-13</v>
      </c>
      <c r="K369" s="30">
        <f t="shared" si="232"/>
        <v>1.0479035755784367E-11</v>
      </c>
      <c r="L369" s="30">
        <f t="shared" si="232"/>
        <v>7.4394838694250878E-12</v>
      </c>
      <c r="M369" s="30">
        <f t="shared" si="232"/>
        <v>6.8729050721555388E-12</v>
      </c>
      <c r="N369" s="30">
        <f t="shared" si="232"/>
        <v>1.0731051732676167E-11</v>
      </c>
      <c r="O369" s="30">
        <f t="shared" si="232"/>
        <v>2.7962590059727031E-12</v>
      </c>
      <c r="P369" s="30">
        <f t="shared" si="232"/>
        <v>5.7930339655589517E-12</v>
      </c>
      <c r="Q369" s="30">
        <f t="shared" si="232"/>
        <v>1.1227178393093777E-12</v>
      </c>
      <c r="R369" s="30">
        <f t="shared" si="232"/>
        <v>1.7366832177454181E-12</v>
      </c>
      <c r="S369" s="30">
        <f t="shared" si="232"/>
        <v>1.6750865268658227E-12</v>
      </c>
      <c r="T369" s="30">
        <f t="shared" si="232"/>
        <v>1.4933548045227536E-12</v>
      </c>
      <c r="U369" s="30">
        <f t="shared" si="232"/>
        <v>8.4162265619168076E-13</v>
      </c>
      <c r="V369" s="30">
        <f t="shared" si="232"/>
        <v>4.3653088450351447E-13</v>
      </c>
      <c r="W369" s="30">
        <f t="shared" si="232"/>
        <v>3.7688906236182407E-13</v>
      </c>
      <c r="X369" s="30">
        <f t="shared" si="232"/>
        <v>1.5842560136835814E-12</v>
      </c>
      <c r="Y369" s="30">
        <f t="shared" si="232"/>
        <v>1.0448288409671589E-12</v>
      </c>
      <c r="Z369" s="30">
        <f t="shared" si="232"/>
        <v>9.2907675308590639E-13</v>
      </c>
      <c r="AA369" s="30">
        <f t="shared" si="232"/>
        <v>1.0998323421804604E-11</v>
      </c>
      <c r="AB369" s="30">
        <f t="shared" si="232"/>
        <v>1.3503215532757396E-11</v>
      </c>
      <c r="AC369" s="30">
        <f t="shared" si="232"/>
        <v>6.3087886389167191E-12</v>
      </c>
      <c r="AD369" s="30">
        <f t="shared" si="232"/>
        <v>1.5461775792756785E-11</v>
      </c>
      <c r="AE369" s="30">
        <f t="shared" si="232"/>
        <v>1.3940633023876206E-11</v>
      </c>
      <c r="AF369" s="30">
        <f t="shared" si="232"/>
        <v>1.4185119802817276E-11</v>
      </c>
      <c r="AG369" s="30"/>
    </row>
    <row r="370" spans="1:33" x14ac:dyDescent="0.2">
      <c r="A370" s="31" t="s">
        <v>504</v>
      </c>
      <c r="B370" s="64"/>
      <c r="C370" s="30">
        <f>SQRT(C362*C362+C364*C364+C366*C366+C368*C368)</f>
        <v>2.4787209923647601E-16</v>
      </c>
      <c r="D370" s="30">
        <f t="shared" ref="D370:AF370" si="233">SQRT(D362*D362+D364*D364+D366*D366+D368*D368)</f>
        <v>1.0992179536505139E-16</v>
      </c>
      <c r="E370" s="30">
        <f t="shared" si="233"/>
        <v>1.2811168215424761E-16</v>
      </c>
      <c r="F370" s="30">
        <f t="shared" si="233"/>
        <v>1.3049663697586697E-16</v>
      </c>
      <c r="G370" s="30">
        <f t="shared" si="233"/>
        <v>1.9329193770389703E-16</v>
      </c>
      <c r="H370" s="30">
        <f t="shared" si="233"/>
        <v>2.9700728821496605E-16</v>
      </c>
      <c r="I370" s="30">
        <f t="shared" si="233"/>
        <v>1.1172667077608067E-16</v>
      </c>
      <c r="J370" s="30">
        <f t="shared" si="233"/>
        <v>3.1722197535297403E-16</v>
      </c>
      <c r="K370" s="30">
        <f t="shared" si="233"/>
        <v>1.0076173652841708E-15</v>
      </c>
      <c r="L370" s="30">
        <f t="shared" si="233"/>
        <v>6.7083923977484865E-16</v>
      </c>
      <c r="M370" s="30">
        <f t="shared" si="233"/>
        <v>5.9602119367721205E-16</v>
      </c>
      <c r="N370" s="30">
        <f t="shared" si="233"/>
        <v>9.8771743366861073E-16</v>
      </c>
      <c r="O370" s="30">
        <f t="shared" si="233"/>
        <v>2.7477710729877739E-16</v>
      </c>
      <c r="P370" s="30">
        <f t="shared" si="233"/>
        <v>1.3855802178914045E-15</v>
      </c>
      <c r="Q370" s="30">
        <f t="shared" si="233"/>
        <v>1.5082303994002438E-16</v>
      </c>
      <c r="R370" s="30">
        <f t="shared" si="233"/>
        <v>2.0750141725670049E-16</v>
      </c>
      <c r="S370" s="30">
        <f t="shared" si="233"/>
        <v>1.8773490937344106E-16</v>
      </c>
      <c r="T370" s="30">
        <f t="shared" si="233"/>
        <v>1.7420831994139878E-16</v>
      </c>
      <c r="U370" s="30">
        <f t="shared" si="233"/>
        <v>1.5893640865434579E-16</v>
      </c>
      <c r="V370" s="30">
        <f t="shared" si="233"/>
        <v>1.0300200351251358E-16</v>
      </c>
      <c r="W370" s="30">
        <f t="shared" si="233"/>
        <v>9.5828983910402459E-17</v>
      </c>
      <c r="X370" s="30">
        <f t="shared" si="233"/>
        <v>1.7178071215529968E-16</v>
      </c>
      <c r="Y370" s="30">
        <f t="shared" si="233"/>
        <v>1.278073703100409E-16</v>
      </c>
      <c r="Z370" s="30">
        <f t="shared" si="233"/>
        <v>1.4940341056550391E-16</v>
      </c>
      <c r="AA370" s="30">
        <f t="shared" si="233"/>
        <v>1.7278466027259569E-15</v>
      </c>
      <c r="AB370" s="30">
        <f t="shared" si="233"/>
        <v>2.1793633143910418E-15</v>
      </c>
      <c r="AC370" s="30">
        <f t="shared" si="233"/>
        <v>1.0122791705921292E-15</v>
      </c>
      <c r="AD370" s="30">
        <f t="shared" si="233"/>
        <v>2.4292322501389608E-15</v>
      </c>
      <c r="AE370" s="30">
        <f t="shared" si="233"/>
        <v>2.3982734112699749E-15</v>
      </c>
      <c r="AF370" s="30">
        <f t="shared" si="233"/>
        <v>2.2670416521774963E-15</v>
      </c>
      <c r="AG370" s="30"/>
    </row>
    <row r="371" spans="1:33" x14ac:dyDescent="0.2">
      <c r="A371" s="42" t="s">
        <v>511</v>
      </c>
      <c r="B371" s="44"/>
      <c r="C371" s="81"/>
      <c r="D371" s="81"/>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40"/>
    </row>
    <row r="372" spans="1:33" x14ac:dyDescent="0.2">
      <c r="A372" s="198" t="s">
        <v>282</v>
      </c>
      <c r="B372" s="212"/>
      <c r="C372" s="79">
        <f>(3*C173*C26)/(1-(1/C245)*C26*(1+3*C224))+(((C173*C26*(1+3*C224)-(C166*C173)-C219)/(1-(1/C245)*C26*(1+3*C224)))*((3*C26)/C245))</f>
        <v>4.0318840860601083E-12</v>
      </c>
      <c r="D372" s="79">
        <f t="shared" ref="D372:AF372" si="234">(3*D173*D26)/(1-(1/D245)*D26*(1+3*D224))+(((D173*D26*(1+3*D224)-(D166*D173)-D219)/(1-(1/D245)*D26*(1+3*D224)))*((3*D26)/D245))</f>
        <v>2.8031878484465892E-13</v>
      </c>
      <c r="E372" s="79">
        <f t="shared" si="234"/>
        <v>5.0315367528574287E-13</v>
      </c>
      <c r="F372" s="79">
        <f t="shared" si="234"/>
        <v>8.1070804697352443E-13</v>
      </c>
      <c r="G372" s="79">
        <f t="shared" si="234"/>
        <v>1.0496328702652611E-12</v>
      </c>
      <c r="H372" s="79">
        <f t="shared" si="234"/>
        <v>4.8893544251637162E-13</v>
      </c>
      <c r="I372" s="79">
        <f t="shared" si="234"/>
        <v>7.7183371576506361E-13</v>
      </c>
      <c r="J372" s="79">
        <f t="shared" si="234"/>
        <v>6.4089723172600755E-13</v>
      </c>
      <c r="K372" s="79">
        <f t="shared" si="234"/>
        <v>3.1663376595597197E-11</v>
      </c>
      <c r="L372" s="79">
        <f t="shared" si="234"/>
        <v>2.2481071796574824E-11</v>
      </c>
      <c r="M372" s="79">
        <f t="shared" si="234"/>
        <v>2.0774551729796645E-11</v>
      </c>
      <c r="N372" s="79">
        <f t="shared" si="234"/>
        <v>3.2440100780836067E-11</v>
      </c>
      <c r="O372" s="79">
        <f t="shared" si="234"/>
        <v>8.448531064604217E-12</v>
      </c>
      <c r="P372" s="79">
        <f t="shared" si="234"/>
        <v>1.7496770323977663E-11</v>
      </c>
      <c r="Q372" s="79">
        <f t="shared" si="234"/>
        <v>3.4514986917028013E-12</v>
      </c>
      <c r="R372" s="79">
        <f t="shared" si="234"/>
        <v>5.2577412093023412E-12</v>
      </c>
      <c r="S372" s="79">
        <f t="shared" si="234"/>
        <v>5.0757524671773698E-12</v>
      </c>
      <c r="T372" s="79">
        <f t="shared" si="234"/>
        <v>4.5484185964748944E-12</v>
      </c>
      <c r="U372" s="79">
        <f t="shared" si="234"/>
        <v>2.5879581998751523E-12</v>
      </c>
      <c r="V372" s="79">
        <f t="shared" si="234"/>
        <v>1.3734458883513141E-12</v>
      </c>
      <c r="W372" s="79">
        <f t="shared" si="234"/>
        <v>1.2253310776805937E-12</v>
      </c>
      <c r="X372" s="79">
        <f t="shared" si="234"/>
        <v>4.7986797004654419E-12</v>
      </c>
      <c r="Y372" s="79">
        <f t="shared" si="234"/>
        <v>3.1721528274459343E-12</v>
      </c>
      <c r="Z372" s="79">
        <f t="shared" si="234"/>
        <v>2.8613082940602065E-12</v>
      </c>
      <c r="AA372" s="79">
        <f t="shared" si="234"/>
        <v>3.3236706457305158E-11</v>
      </c>
      <c r="AB372" s="79">
        <f t="shared" si="234"/>
        <v>4.0843981336648152E-11</v>
      </c>
      <c r="AC372" s="79">
        <f t="shared" si="234"/>
        <v>1.9038667714195559E-11</v>
      </c>
      <c r="AD372" s="79">
        <f t="shared" si="234"/>
        <v>4.6837387510227827E-11</v>
      </c>
      <c r="AE372" s="79">
        <f t="shared" si="234"/>
        <v>4.2368451299387711E-11</v>
      </c>
      <c r="AF372" s="79">
        <f t="shared" si="234"/>
        <v>4.288285460758401E-11</v>
      </c>
      <c r="AG372" s="30"/>
    </row>
    <row r="373" spans="1:33" x14ac:dyDescent="0.2">
      <c r="A373" s="44" t="s">
        <v>479</v>
      </c>
      <c r="B373" s="64"/>
      <c r="C373" s="28">
        <f>C372*C281</f>
        <v>2.0845728001286734E-16</v>
      </c>
      <c r="D373" s="28">
        <f t="shared" ref="D373:AF373" si="235">D372*D281</f>
        <v>1.4456844051503692E-17</v>
      </c>
      <c r="E373" s="28">
        <f t="shared" si="235"/>
        <v>2.6063723635399637E-17</v>
      </c>
      <c r="F373" s="28">
        <f t="shared" si="235"/>
        <v>4.1736880932091966E-17</v>
      </c>
      <c r="G373" s="28">
        <f t="shared" si="235"/>
        <v>5.648466379934487E-17</v>
      </c>
      <c r="H373" s="28">
        <f t="shared" si="235"/>
        <v>2.7638057403857826E-17</v>
      </c>
      <c r="I373" s="28">
        <f t="shared" si="235"/>
        <v>3.9429351744760753E-17</v>
      </c>
      <c r="J373" s="28">
        <f t="shared" si="235"/>
        <v>4.0060325552043125E-17</v>
      </c>
      <c r="K373" s="28">
        <f t="shared" si="235"/>
        <v>9.5075527644957624E-16</v>
      </c>
      <c r="L373" s="28">
        <f t="shared" si="235"/>
        <v>6.4474950033619316E-16</v>
      </c>
      <c r="M373" s="28">
        <f t="shared" si="235"/>
        <v>5.825326256382676E-16</v>
      </c>
      <c r="N373" s="28">
        <f t="shared" si="235"/>
        <v>9.5137225917138258E-16</v>
      </c>
      <c r="O373" s="28">
        <f t="shared" si="235"/>
        <v>2.5044233194287883E-16</v>
      </c>
      <c r="P373" s="28">
        <f t="shared" si="235"/>
        <v>1.1446867137652326E-15</v>
      </c>
      <c r="Q373" s="28">
        <f t="shared" si="235"/>
        <v>9.8055496933803412E-17</v>
      </c>
      <c r="R373" s="28">
        <f t="shared" si="235"/>
        <v>1.6540138967121269E-16</v>
      </c>
      <c r="S373" s="28">
        <f t="shared" si="235"/>
        <v>1.4824287773421211E-16</v>
      </c>
      <c r="T373" s="28">
        <f t="shared" si="235"/>
        <v>1.3282502431155021E-16</v>
      </c>
      <c r="U373" s="28">
        <f t="shared" si="235"/>
        <v>7.983195625911058E-17</v>
      </c>
      <c r="V373" s="28">
        <f t="shared" si="235"/>
        <v>4.0379268780553758E-17</v>
      </c>
      <c r="W373" s="28">
        <f t="shared" si="235"/>
        <v>3.4910156409389586E-17</v>
      </c>
      <c r="X373" s="28">
        <f t="shared" si="235"/>
        <v>1.408609241663696E-16</v>
      </c>
      <c r="Y373" s="28">
        <f t="shared" si="235"/>
        <v>9.1518694440601815E-17</v>
      </c>
      <c r="Z373" s="28">
        <f t="shared" si="235"/>
        <v>8.6560301416110086E-17</v>
      </c>
      <c r="AA373" s="28">
        <f t="shared" si="235"/>
        <v>1.7153209974754801E-15</v>
      </c>
      <c r="AB373" s="28">
        <f t="shared" si="235"/>
        <v>2.1385630966511798E-15</v>
      </c>
      <c r="AC373" s="28">
        <f t="shared" si="235"/>
        <v>9.895348027579838E-16</v>
      </c>
      <c r="AD373" s="28">
        <f t="shared" si="235"/>
        <v>2.4072377699886902E-15</v>
      </c>
      <c r="AE373" s="28">
        <f t="shared" si="235"/>
        <v>2.3325075021083875E-15</v>
      </c>
      <c r="AF373" s="28">
        <f t="shared" si="235"/>
        <v>2.2356472459469179E-15</v>
      </c>
      <c r="AG373" s="28"/>
    </row>
    <row r="374" spans="1:33" x14ac:dyDescent="0.2">
      <c r="A374" s="6" t="s">
        <v>411</v>
      </c>
      <c r="B374" s="64"/>
      <c r="C374" s="30">
        <f>((C173*C26*(1+3*C224))-(C166*C173)-C219)/(1-(1/C245)*C26*(1+3*C224))</f>
        <v>1.3251703239785275E-12</v>
      </c>
      <c r="D374" s="30">
        <f t="shared" ref="D374:AF374" si="236">((D173*D26*(1+3*D224))-(D166*D173)-D219)/(1-(1/D245)*D26*(1+3*D224))</f>
        <v>7.5470175210622346E-14</v>
      </c>
      <c r="E374" s="30">
        <f t="shared" si="236"/>
        <v>1.5113690019623194E-13</v>
      </c>
      <c r="F374" s="30">
        <f t="shared" si="236"/>
        <v>2.5147932032629668E-13</v>
      </c>
      <c r="G374" s="30">
        <f t="shared" si="236"/>
        <v>3.2483985818970817E-13</v>
      </c>
      <c r="H374" s="30">
        <f t="shared" si="236"/>
        <v>1.4294857840390749E-13</v>
      </c>
      <c r="I374" s="30">
        <f t="shared" si="236"/>
        <v>2.4231473888442934E-13</v>
      </c>
      <c r="J374" s="30">
        <f t="shared" si="236"/>
        <v>1.9675211549283839E-13</v>
      </c>
      <c r="K374" s="30">
        <f t="shared" si="236"/>
        <v>1.0479035755784367E-11</v>
      </c>
      <c r="L374" s="30">
        <f t="shared" si="236"/>
        <v>7.4394838694250878E-12</v>
      </c>
      <c r="M374" s="30">
        <f t="shared" si="236"/>
        <v>6.8729050721555388E-12</v>
      </c>
      <c r="N374" s="30">
        <f t="shared" si="236"/>
        <v>1.0731051732676167E-11</v>
      </c>
      <c r="O374" s="30">
        <f t="shared" si="236"/>
        <v>2.7962590059727031E-12</v>
      </c>
      <c r="P374" s="30">
        <f t="shared" si="236"/>
        <v>5.7930339655589517E-12</v>
      </c>
      <c r="Q374" s="30">
        <f t="shared" si="236"/>
        <v>1.1227178393093777E-12</v>
      </c>
      <c r="R374" s="30">
        <f t="shared" si="236"/>
        <v>1.7366832177454181E-12</v>
      </c>
      <c r="S374" s="30">
        <f t="shared" si="236"/>
        <v>1.6750865268658227E-12</v>
      </c>
      <c r="T374" s="30">
        <f t="shared" si="236"/>
        <v>1.4933548045227536E-12</v>
      </c>
      <c r="U374" s="30">
        <f t="shared" si="236"/>
        <v>8.4162265619168076E-13</v>
      </c>
      <c r="V374" s="30">
        <f t="shared" si="236"/>
        <v>4.3653088450351447E-13</v>
      </c>
      <c r="W374" s="30">
        <f t="shared" si="236"/>
        <v>3.7688906236182407E-13</v>
      </c>
      <c r="X374" s="30">
        <f t="shared" si="236"/>
        <v>1.5842560136835814E-12</v>
      </c>
      <c r="Y374" s="30">
        <f t="shared" si="236"/>
        <v>1.0448288409671589E-12</v>
      </c>
      <c r="Z374" s="30">
        <f t="shared" si="236"/>
        <v>9.2907675308590639E-13</v>
      </c>
      <c r="AA374" s="30">
        <f t="shared" si="236"/>
        <v>1.0998323421804604E-11</v>
      </c>
      <c r="AB374" s="30">
        <f t="shared" si="236"/>
        <v>1.3503215532757396E-11</v>
      </c>
      <c r="AC374" s="30">
        <f t="shared" si="236"/>
        <v>6.3087886389167191E-12</v>
      </c>
      <c r="AD374" s="30">
        <f t="shared" si="236"/>
        <v>1.5461775792756785E-11</v>
      </c>
      <c r="AE374" s="30">
        <f t="shared" si="236"/>
        <v>1.3940633023876206E-11</v>
      </c>
      <c r="AF374" s="30">
        <f t="shared" si="236"/>
        <v>1.4185119802817276E-11</v>
      </c>
      <c r="AG374" s="30"/>
    </row>
    <row r="375" spans="1:33" x14ac:dyDescent="0.2">
      <c r="A375" s="31" t="s">
        <v>410</v>
      </c>
      <c r="B375" s="64"/>
      <c r="C375" s="30">
        <f>SQRT(C362*C362+C364*C364+C373*C373+C368*C368)</f>
        <v>2.4787209923647601E-16</v>
      </c>
      <c r="D375" s="30">
        <f t="shared" ref="D375:AF375" si="237">SQRT(D362*D362+D364*D364+D373*D373+D368*D368)</f>
        <v>1.0992179536505139E-16</v>
      </c>
      <c r="E375" s="30">
        <f t="shared" si="237"/>
        <v>1.2811168215424761E-16</v>
      </c>
      <c r="F375" s="30">
        <f t="shared" si="237"/>
        <v>1.3049663697586697E-16</v>
      </c>
      <c r="G375" s="30">
        <f t="shared" si="237"/>
        <v>1.9329193770389703E-16</v>
      </c>
      <c r="H375" s="30">
        <f t="shared" si="237"/>
        <v>2.9700728821496605E-16</v>
      </c>
      <c r="I375" s="30">
        <f t="shared" si="237"/>
        <v>1.1172667077608067E-16</v>
      </c>
      <c r="J375" s="30">
        <f t="shared" si="237"/>
        <v>3.1722197535297403E-16</v>
      </c>
      <c r="K375" s="30">
        <f t="shared" si="237"/>
        <v>1.0076173652841708E-15</v>
      </c>
      <c r="L375" s="30">
        <f t="shared" si="237"/>
        <v>6.7083923977484865E-16</v>
      </c>
      <c r="M375" s="30">
        <f t="shared" si="237"/>
        <v>5.9602119367721205E-16</v>
      </c>
      <c r="N375" s="30">
        <f t="shared" si="237"/>
        <v>9.8771743366861073E-16</v>
      </c>
      <c r="O375" s="30">
        <f t="shared" si="237"/>
        <v>2.7477710729877739E-16</v>
      </c>
      <c r="P375" s="30">
        <f t="shared" si="237"/>
        <v>1.3855802178914045E-15</v>
      </c>
      <c r="Q375" s="30">
        <f t="shared" si="237"/>
        <v>1.5082303994002438E-16</v>
      </c>
      <c r="R375" s="30">
        <f t="shared" si="237"/>
        <v>2.0750141725670049E-16</v>
      </c>
      <c r="S375" s="30">
        <f t="shared" si="237"/>
        <v>1.8773490937344106E-16</v>
      </c>
      <c r="T375" s="30">
        <f t="shared" si="237"/>
        <v>1.7420831994139878E-16</v>
      </c>
      <c r="U375" s="30">
        <f t="shared" si="237"/>
        <v>1.5893640865434579E-16</v>
      </c>
      <c r="V375" s="30">
        <f t="shared" si="237"/>
        <v>1.0300200351251358E-16</v>
      </c>
      <c r="W375" s="30">
        <f t="shared" si="237"/>
        <v>9.5828983910402459E-17</v>
      </c>
      <c r="X375" s="30">
        <f t="shared" si="237"/>
        <v>1.7178071215529968E-16</v>
      </c>
      <c r="Y375" s="30">
        <f t="shared" si="237"/>
        <v>1.278073703100409E-16</v>
      </c>
      <c r="Z375" s="30">
        <f t="shared" si="237"/>
        <v>1.4940341056550391E-16</v>
      </c>
      <c r="AA375" s="30">
        <f t="shared" si="237"/>
        <v>1.7278466027259569E-15</v>
      </c>
      <c r="AB375" s="30">
        <f t="shared" si="237"/>
        <v>2.1793633143910418E-15</v>
      </c>
      <c r="AC375" s="30">
        <f t="shared" si="237"/>
        <v>1.0122791705921292E-15</v>
      </c>
      <c r="AD375" s="30">
        <f t="shared" si="237"/>
        <v>2.4292322501389608E-15</v>
      </c>
      <c r="AE375" s="30">
        <f t="shared" si="237"/>
        <v>2.3982734112699749E-15</v>
      </c>
      <c r="AF375" s="30">
        <f t="shared" si="237"/>
        <v>2.2670416521774963E-15</v>
      </c>
      <c r="AG375" s="30"/>
    </row>
    <row r="376" spans="1:33" x14ac:dyDescent="0.2">
      <c r="A376" s="42" t="s">
        <v>512</v>
      </c>
      <c r="B376" s="64"/>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c r="AB376" s="28"/>
      <c r="AC376" s="28"/>
      <c r="AD376" s="28"/>
      <c r="AE376" s="28"/>
      <c r="AF376" s="28"/>
      <c r="AG376" s="28"/>
    </row>
    <row r="377" spans="1:33" x14ac:dyDescent="0.2">
      <c r="A377" s="198" t="s">
        <v>406</v>
      </c>
      <c r="B377" s="64"/>
      <c r="C377" s="30">
        <f>C173*(1+2*C358)</f>
        <v>7.9115354858545276E-12</v>
      </c>
      <c r="D377" s="30">
        <f t="shared" ref="D377:AF377" si="238">D173*(1+2*D358)</f>
        <v>6.9168937244105843E-12</v>
      </c>
      <c r="E377" s="30">
        <f t="shared" si="238"/>
        <v>6.456272768502791E-12</v>
      </c>
      <c r="F377" s="30">
        <f t="shared" si="238"/>
        <v>7.3779980774728467E-12</v>
      </c>
      <c r="G377" s="30">
        <f t="shared" si="238"/>
        <v>9.8359771964396671E-12</v>
      </c>
      <c r="H377" s="30">
        <f t="shared" si="238"/>
        <v>7.8426907301156957E-12</v>
      </c>
      <c r="I377" s="30">
        <f t="shared" si="238"/>
        <v>5.918239503212703E-12</v>
      </c>
      <c r="J377" s="30">
        <f t="shared" si="238"/>
        <v>6.6097621411825006E-12</v>
      </c>
      <c r="K377" s="30">
        <f t="shared" si="238"/>
        <v>1.3163869335174266E-11</v>
      </c>
      <c r="L377" s="30">
        <f t="shared" si="238"/>
        <v>9.5740982699414614E-12</v>
      </c>
      <c r="M377" s="30">
        <f t="shared" si="238"/>
        <v>7.9749696116751249E-12</v>
      </c>
      <c r="N377" s="30">
        <f t="shared" si="238"/>
        <v>1.1660421514487972E-11</v>
      </c>
      <c r="O377" s="30">
        <f t="shared" si="238"/>
        <v>5.2927796514970796E-12</v>
      </c>
      <c r="P377" s="30">
        <f t="shared" si="238"/>
        <v>7.8818715865045135E-12</v>
      </c>
      <c r="Q377" s="30">
        <f t="shared" si="238"/>
        <v>9.5048664040219404E-12</v>
      </c>
      <c r="R377" s="30">
        <f t="shared" si="238"/>
        <v>5.2983022697646893E-12</v>
      </c>
      <c r="S377" s="30">
        <f t="shared" si="238"/>
        <v>5.4980226414069897E-12</v>
      </c>
      <c r="T377" s="30">
        <f t="shared" si="238"/>
        <v>7.9021192994103707E-12</v>
      </c>
      <c r="U377" s="30">
        <f t="shared" si="238"/>
        <v>7.204322457370222E-12</v>
      </c>
      <c r="V377" s="30">
        <f t="shared" si="238"/>
        <v>7.1058936474779697E-12</v>
      </c>
      <c r="W377" s="30">
        <f t="shared" si="238"/>
        <v>1.040926690592359E-11</v>
      </c>
      <c r="X377" s="30">
        <f t="shared" si="238"/>
        <v>4.9981155771701859E-12</v>
      </c>
      <c r="Y377" s="30">
        <f t="shared" si="238"/>
        <v>4.099072642223361E-12</v>
      </c>
      <c r="Z377" s="30">
        <f t="shared" si="238"/>
        <v>8.4046664022093593E-12</v>
      </c>
      <c r="AA377" s="30">
        <f t="shared" si="238"/>
        <v>9.9417571722657551E-12</v>
      </c>
      <c r="AB377" s="30">
        <f t="shared" si="238"/>
        <v>1.0467989479945311E-11</v>
      </c>
      <c r="AC377" s="30">
        <f t="shared" si="238"/>
        <v>1.0501564674252562E-11</v>
      </c>
      <c r="AD377" s="30">
        <f t="shared" si="238"/>
        <v>1.0303376023277964E-11</v>
      </c>
      <c r="AE377" s="30">
        <f t="shared" si="238"/>
        <v>6.8511886767706856E-12</v>
      </c>
      <c r="AF377" s="30">
        <f t="shared" si="238"/>
        <v>1.192560039936976E-11</v>
      </c>
      <c r="AG377" s="30"/>
    </row>
    <row r="378" spans="1:33" x14ac:dyDescent="0.2">
      <c r="A378" s="44" t="s">
        <v>479</v>
      </c>
      <c r="B378" s="64"/>
      <c r="C378" s="28">
        <f t="shared" ref="C378:AF378" si="239">C377*C256</f>
        <v>1.0742621024023007E-16</v>
      </c>
      <c r="D378" s="28">
        <f t="shared" si="239"/>
        <v>7.4728437510368338E-17</v>
      </c>
      <c r="E378" s="28">
        <f t="shared" si="239"/>
        <v>9.7177657615999505E-17</v>
      </c>
      <c r="F378" s="28">
        <f t="shared" si="239"/>
        <v>9.4624374476159971E-17</v>
      </c>
      <c r="G378" s="28">
        <f t="shared" si="239"/>
        <v>1.6623150034778226E-16</v>
      </c>
      <c r="H378" s="28">
        <f t="shared" si="239"/>
        <v>2.8420022563502911E-16</v>
      </c>
      <c r="I378" s="28">
        <f t="shared" si="239"/>
        <v>6.8356152054461153E-17</v>
      </c>
      <c r="J378" s="28">
        <f t="shared" si="239"/>
        <v>3.0395795303130782E-16</v>
      </c>
      <c r="K378" s="28">
        <f t="shared" si="239"/>
        <v>3.1889637722997649E-16</v>
      </c>
      <c r="L378" s="28">
        <f t="shared" si="239"/>
        <v>1.6500021155001894E-16</v>
      </c>
      <c r="M378" s="28">
        <f t="shared" si="239"/>
        <v>9.6722077159821625E-17</v>
      </c>
      <c r="N378" s="28">
        <f t="shared" si="239"/>
        <v>2.4872595404559741E-16</v>
      </c>
      <c r="O378" s="28">
        <f t="shared" si="239"/>
        <v>8.0383829047801685E-17</v>
      </c>
      <c r="P378" s="28">
        <f t="shared" si="239"/>
        <v>7.6464892440365153E-16</v>
      </c>
      <c r="Q378" s="28">
        <f t="shared" si="239"/>
        <v>8.3315726407197529E-17</v>
      </c>
      <c r="R378" s="28">
        <f t="shared" si="239"/>
        <v>9.6953631177135348E-17</v>
      </c>
      <c r="S378" s="28">
        <f t="shared" si="239"/>
        <v>8.3773409239355989E-17</v>
      </c>
      <c r="T378" s="28">
        <f t="shared" si="239"/>
        <v>8.0601596131445141E-17</v>
      </c>
      <c r="U378" s="28">
        <f t="shared" si="239"/>
        <v>1.1251048281346134E-16</v>
      </c>
      <c r="V378" s="28">
        <f t="shared" si="239"/>
        <v>5.3245216689349475E-17</v>
      </c>
      <c r="W378" s="28">
        <f t="shared" si="239"/>
        <v>4.2674940926369052E-17</v>
      </c>
      <c r="X378" s="28">
        <f t="shared" si="239"/>
        <v>5.8874398667626163E-17</v>
      </c>
      <c r="Y378" s="28">
        <f t="shared" si="239"/>
        <v>4.237647032603557E-17</v>
      </c>
      <c r="Z378" s="28">
        <f t="shared" si="239"/>
        <v>9.2904255643127914E-17</v>
      </c>
      <c r="AA378" s="28">
        <f t="shared" si="239"/>
        <v>1.8694379183047474E-16</v>
      </c>
      <c r="AB378" s="28">
        <f t="shared" si="239"/>
        <v>4.0108485483545472E-16</v>
      </c>
      <c r="AC378" s="28">
        <f t="shared" si="239"/>
        <v>1.9490041086848058E-16</v>
      </c>
      <c r="AD378" s="28">
        <f t="shared" si="239"/>
        <v>3.0647910059060598E-16</v>
      </c>
      <c r="AE378" s="28">
        <f t="shared" si="239"/>
        <v>5.3026619962948449E-16</v>
      </c>
      <c r="AF378" s="28">
        <f t="shared" si="239"/>
        <v>3.5809450955325105E-16</v>
      </c>
      <c r="AG378" s="28"/>
    </row>
    <row r="379" spans="1:33" x14ac:dyDescent="0.2">
      <c r="A379" s="198" t="s">
        <v>407</v>
      </c>
      <c r="B379" s="64"/>
      <c r="C379" s="30">
        <f>-C173</f>
        <v>-7.9084667275429643E-12</v>
      </c>
      <c r="D379" s="30">
        <f t="shared" ref="D379:AF379" si="240">-D173</f>
        <v>-6.9103107328045309E-12</v>
      </c>
      <c r="E379" s="30">
        <f t="shared" si="240"/>
        <v>-6.4496233506175623E-12</v>
      </c>
      <c r="F379" s="30">
        <f t="shared" si="240"/>
        <v>-7.3709981149915004E-12</v>
      </c>
      <c r="G379" s="30">
        <f t="shared" si="240"/>
        <v>-9.827997486655335E-12</v>
      </c>
      <c r="H379" s="30">
        <f t="shared" si="240"/>
        <v>-7.8316854971784699E-12</v>
      </c>
      <c r="I379" s="30">
        <f t="shared" si="240"/>
        <v>-5.9121547380660992E-12</v>
      </c>
      <c r="J379" s="30">
        <f t="shared" si="240"/>
        <v>-6.6031858113465526E-12</v>
      </c>
      <c r="K379" s="30">
        <f t="shared" si="240"/>
        <v>-1.3200000003755525E-11</v>
      </c>
      <c r="L379" s="30">
        <f t="shared" si="240"/>
        <v>-9.6000000027312901E-12</v>
      </c>
      <c r="M379" s="30">
        <f t="shared" si="240"/>
        <v>-8.0000000022760762E-12</v>
      </c>
      <c r="N379" s="30">
        <f t="shared" si="240"/>
        <v>-1.1700000003328761E-11</v>
      </c>
      <c r="O379" s="30">
        <f t="shared" si="240"/>
        <v>-5.3000000015078998E-12</v>
      </c>
      <c r="P379" s="30">
        <f t="shared" si="240"/>
        <v>-7.9000000022476257E-12</v>
      </c>
      <c r="Q379" s="30">
        <f t="shared" si="240"/>
        <v>-9.5000000027028396E-12</v>
      </c>
      <c r="R379" s="30">
        <f t="shared" si="240"/>
        <v>-5.3000000000000004E-12</v>
      </c>
      <c r="S379" s="30">
        <f t="shared" si="240"/>
        <v>-5.5000000000000004E-12</v>
      </c>
      <c r="T379" s="30">
        <f t="shared" si="240"/>
        <v>-7.9000000000000015E-12</v>
      </c>
      <c r="U379" s="30">
        <f t="shared" si="240"/>
        <v>-7.2E-12</v>
      </c>
      <c r="V379" s="30">
        <f t="shared" si="240"/>
        <v>-7.1000000000000008E-12</v>
      </c>
      <c r="W379" s="30">
        <f t="shared" si="240"/>
        <v>-1.0400000000000001E-11</v>
      </c>
      <c r="X379" s="30">
        <f t="shared" si="240"/>
        <v>-5.0000000000000005E-12</v>
      </c>
      <c r="Y379" s="30">
        <f t="shared" si="240"/>
        <v>-4.1000000000000007E-12</v>
      </c>
      <c r="Z379" s="30">
        <f t="shared" si="240"/>
        <v>-8.3999999999999998E-12</v>
      </c>
      <c r="AA379" s="30">
        <f t="shared" si="240"/>
        <v>-9.9815599473843237E-12</v>
      </c>
      <c r="AB379" s="30">
        <f t="shared" si="240"/>
        <v>-1.0519028559935788E-11</v>
      </c>
      <c r="AC379" s="30">
        <f t="shared" si="240"/>
        <v>-1.0519028559935788E-11</v>
      </c>
      <c r="AD379" s="30">
        <f t="shared" si="240"/>
        <v>-1.0365466099206797E-11</v>
      </c>
      <c r="AE379" s="30">
        <f t="shared" si="240"/>
        <v>-6.9103107328045309E-12</v>
      </c>
      <c r="AF379" s="30">
        <f t="shared" si="240"/>
        <v>-1.1977871936861187E-11</v>
      </c>
      <c r="AG379" s="30"/>
    </row>
    <row r="380" spans="1:33" x14ac:dyDescent="0.2">
      <c r="A380" s="44" t="s">
        <v>479</v>
      </c>
      <c r="B380" s="64"/>
      <c r="C380" s="28">
        <f t="shared" ref="C380:AF380" si="241">C379*C267</f>
        <v>-1.4306904329856527E-17</v>
      </c>
      <c r="D380" s="28">
        <f t="shared" si="241"/>
        <v>-1.2501178540651332E-17</v>
      </c>
      <c r="E380" s="28">
        <f t="shared" si="241"/>
        <v>-1.1667766637941243E-17</v>
      </c>
      <c r="F380" s="28">
        <f t="shared" si="241"/>
        <v>-1.3334590443361421E-17</v>
      </c>
      <c r="G380" s="28">
        <f t="shared" si="241"/>
        <v>-1.7779453924481897E-17</v>
      </c>
      <c r="H380" s="28">
        <f t="shared" si="241"/>
        <v>-1.4168002346071513E-17</v>
      </c>
      <c r="I380" s="28">
        <f t="shared" si="241"/>
        <v>-1.069545275144614E-17</v>
      </c>
      <c r="J380" s="28">
        <f t="shared" si="241"/>
        <v>-1.1945570605511274E-17</v>
      </c>
      <c r="K380" s="28">
        <f t="shared" si="241"/>
        <v>-5.2212353471996749E-18</v>
      </c>
      <c r="L380" s="28">
        <f t="shared" si="241"/>
        <v>-3.7972620706906722E-18</v>
      </c>
      <c r="M380" s="28">
        <f t="shared" si="241"/>
        <v>-3.164385058908894E-18</v>
      </c>
      <c r="N380" s="28">
        <f t="shared" si="241"/>
        <v>-4.6279131486542575E-18</v>
      </c>
      <c r="O380" s="28">
        <f t="shared" si="241"/>
        <v>-2.096405101527142E-18</v>
      </c>
      <c r="P380" s="28">
        <f t="shared" si="241"/>
        <v>-3.1248302456725332E-18</v>
      </c>
      <c r="Q380" s="28">
        <f t="shared" si="241"/>
        <v>-3.7577072574543114E-18</v>
      </c>
      <c r="R380" s="28">
        <f t="shared" si="241"/>
        <v>-2.1007652400000002E-18</v>
      </c>
      <c r="S380" s="28">
        <f t="shared" si="241"/>
        <v>-2.1800393999999999E-18</v>
      </c>
      <c r="T380" s="28">
        <f t="shared" si="241"/>
        <v>-3.1313293200000004E-18</v>
      </c>
      <c r="U380" s="28">
        <f t="shared" si="241"/>
        <v>-2.8538697599999999E-18</v>
      </c>
      <c r="V380" s="28">
        <f t="shared" si="241"/>
        <v>-2.8142326800000002E-18</v>
      </c>
      <c r="W380" s="28">
        <f t="shared" si="241"/>
        <v>-4.1222563200000002E-18</v>
      </c>
      <c r="X380" s="28">
        <f t="shared" si="241"/>
        <v>-1.9818539999999999E-18</v>
      </c>
      <c r="Y380" s="28">
        <f t="shared" si="241"/>
        <v>-1.6251202800000003E-18</v>
      </c>
      <c r="Z380" s="28">
        <f t="shared" si="241"/>
        <v>-3.32951472E-18</v>
      </c>
      <c r="AA380" s="28">
        <f t="shared" si="241"/>
        <v>-1.8057257892051925E-17</v>
      </c>
      <c r="AB380" s="28">
        <f t="shared" si="241"/>
        <v>-1.9029571778547029E-17</v>
      </c>
      <c r="AC380" s="28">
        <f t="shared" si="241"/>
        <v>-1.9029571778547029E-17</v>
      </c>
      <c r="AD380" s="28">
        <f t="shared" si="241"/>
        <v>-1.8751767810976998E-17</v>
      </c>
      <c r="AE380" s="28">
        <f t="shared" si="241"/>
        <v>-1.2501178540651332E-17</v>
      </c>
      <c r="AF380" s="28">
        <f t="shared" si="241"/>
        <v>-2.1668709470462308E-17</v>
      </c>
      <c r="AG380" s="28"/>
    </row>
    <row r="381" spans="1:33" x14ac:dyDescent="0.2">
      <c r="A381" s="198" t="s">
        <v>409</v>
      </c>
      <c r="B381" s="64"/>
      <c r="C381" s="30">
        <f>2*C173*C26</f>
        <v>2.6813544139506888E-12</v>
      </c>
      <c r="D381" s="30">
        <f t="shared" ref="D381:AF381" si="242">2*D173*D26</f>
        <v>1.8684602612040386E-13</v>
      </c>
      <c r="E381" s="30">
        <f t="shared" si="242"/>
        <v>3.3531540202873901E-13</v>
      </c>
      <c r="F381" s="30">
        <f t="shared" si="242"/>
        <v>5.4019440274038864E-13</v>
      </c>
      <c r="G381" s="30">
        <f t="shared" si="242"/>
        <v>6.9940664998654078E-13</v>
      </c>
      <c r="H381" s="30">
        <f t="shared" si="242"/>
        <v>3.2586448238552743E-13</v>
      </c>
      <c r="I381" s="30">
        <f t="shared" si="242"/>
        <v>5.1424024783191365E-13</v>
      </c>
      <c r="J381" s="30">
        <f t="shared" si="242"/>
        <v>4.2707208287551487E-13</v>
      </c>
      <c r="K381" s="30">
        <f t="shared" si="242"/>
        <v>2.0868141893937184E-11</v>
      </c>
      <c r="L381" s="30">
        <f t="shared" si="242"/>
        <v>1.4820449860216556E-11</v>
      </c>
      <c r="M381" s="30">
        <f t="shared" si="242"/>
        <v>1.3678926403891785E-11</v>
      </c>
      <c r="N381" s="30">
        <f t="shared" si="242"/>
        <v>2.1342309774072091E-11</v>
      </c>
      <c r="O381" s="30">
        <f t="shared" si="242"/>
        <v>5.5894503855902516E-12</v>
      </c>
      <c r="P381" s="30">
        <f t="shared" si="242"/>
        <v>1.1541487465283663E-11</v>
      </c>
      <c r="Q381" s="30">
        <f t="shared" si="242"/>
        <v>2.2970095606535211E-12</v>
      </c>
      <c r="R381" s="30">
        <f t="shared" si="242"/>
        <v>3.4884999620000003E-12</v>
      </c>
      <c r="S381" s="30">
        <f t="shared" si="242"/>
        <v>3.3688750699999998E-12</v>
      </c>
      <c r="T381" s="30">
        <f t="shared" si="242"/>
        <v>3.0239188660000003E-12</v>
      </c>
      <c r="U381" s="30">
        <f t="shared" si="242"/>
        <v>1.722345984E-12</v>
      </c>
      <c r="V381" s="30">
        <f t="shared" si="242"/>
        <v>9.1479396200000027E-13</v>
      </c>
      <c r="W381" s="30">
        <f t="shared" si="242"/>
        <v>8.164397488000001E-13</v>
      </c>
      <c r="X381" s="30">
        <f t="shared" si="242"/>
        <v>3.1844112000000004E-12</v>
      </c>
      <c r="Y381" s="30">
        <f t="shared" si="242"/>
        <v>2.1069318620000005E-12</v>
      </c>
      <c r="Z381" s="30">
        <f t="shared" si="242"/>
        <v>1.9044402719999998E-12</v>
      </c>
      <c r="AA381" s="30">
        <f t="shared" si="242"/>
        <v>2.1808818129887441E-11</v>
      </c>
      <c r="AB381" s="30">
        <f t="shared" si="242"/>
        <v>2.6731064774405848E-11</v>
      </c>
      <c r="AC381" s="30">
        <f t="shared" si="242"/>
        <v>1.2582740784186178E-11</v>
      </c>
      <c r="AD381" s="30">
        <f t="shared" si="242"/>
        <v>3.0563043239485707E-11</v>
      </c>
      <c r="AE381" s="30">
        <f t="shared" si="242"/>
        <v>2.7442075337339379E-11</v>
      </c>
      <c r="AF381" s="30">
        <f t="shared" si="242"/>
        <v>2.8105230862086032E-11</v>
      </c>
      <c r="AG381" s="30"/>
    </row>
    <row r="382" spans="1:33" x14ac:dyDescent="0.2">
      <c r="A382" s="44" t="s">
        <v>479</v>
      </c>
      <c r="B382" s="64"/>
      <c r="C382" s="28">
        <f t="shared" ref="C382:AF382" si="243">C381*C359</f>
        <v>9.2361114145143134E-17</v>
      </c>
      <c r="D382" s="28">
        <f t="shared" si="243"/>
        <v>6.4245553711250125E-18</v>
      </c>
      <c r="E382" s="28">
        <f t="shared" si="243"/>
        <v>1.1578319116631732E-17</v>
      </c>
      <c r="F382" s="28">
        <f t="shared" si="243"/>
        <v>1.8537887864030283E-17</v>
      </c>
      <c r="G382" s="28">
        <f t="shared" si="243"/>
        <v>2.5088218629406773E-17</v>
      </c>
      <c r="H382" s="28">
        <f t="shared" si="243"/>
        <v>1.228398499596814E-17</v>
      </c>
      <c r="I382" s="28">
        <f t="shared" si="243"/>
        <v>1.7509407085881279E-17</v>
      </c>
      <c r="J382" s="28">
        <f t="shared" si="243"/>
        <v>1.7789793914250555E-17</v>
      </c>
      <c r="K382" s="28">
        <f t="shared" si="243"/>
        <v>4.1661709500571854E-16</v>
      </c>
      <c r="L382" s="28">
        <f t="shared" si="243"/>
        <v>2.8251170184927245E-16</v>
      </c>
      <c r="M382" s="28">
        <f t="shared" si="243"/>
        <v>2.5489184851613183E-16</v>
      </c>
      <c r="N382" s="28">
        <f t="shared" si="243"/>
        <v>4.1585273298343767E-16</v>
      </c>
      <c r="O382" s="28">
        <f t="shared" si="243"/>
        <v>1.1023520211990217E-16</v>
      </c>
      <c r="P382" s="28">
        <f t="shared" si="243"/>
        <v>5.0099122188587283E-16</v>
      </c>
      <c r="Q382" s="28">
        <f t="shared" si="243"/>
        <v>4.3488300179758773E-17</v>
      </c>
      <c r="R382" s="28">
        <f t="shared" si="243"/>
        <v>7.3062601483738819E-17</v>
      </c>
      <c r="S382" s="28">
        <f t="shared" si="243"/>
        <v>6.5524202479909498E-17</v>
      </c>
      <c r="T382" s="28">
        <f t="shared" si="243"/>
        <v>5.8823588244232931E-17</v>
      </c>
      <c r="U382" s="28">
        <f t="shared" si="243"/>
        <v>3.5404863240270506E-17</v>
      </c>
      <c r="V382" s="28">
        <f t="shared" si="243"/>
        <v>1.7931601895273452E-17</v>
      </c>
      <c r="W382" s="28">
        <f t="shared" si="243"/>
        <v>1.550623678008887E-17</v>
      </c>
      <c r="X382" s="28">
        <f t="shared" si="243"/>
        <v>6.2235820570244008E-17</v>
      </c>
      <c r="Y382" s="28">
        <f t="shared" si="243"/>
        <v>4.0480359565018335E-17</v>
      </c>
      <c r="Z382" s="28">
        <f t="shared" si="243"/>
        <v>3.8404003093565821E-17</v>
      </c>
      <c r="AA382" s="28">
        <f t="shared" si="243"/>
        <v>7.4733273628617781E-16</v>
      </c>
      <c r="AB382" s="28">
        <f t="shared" si="243"/>
        <v>9.2844664371340824E-16</v>
      </c>
      <c r="AC382" s="28">
        <f t="shared" si="243"/>
        <v>4.350234126777165E-16</v>
      </c>
      <c r="AD382" s="28">
        <f t="shared" si="243"/>
        <v>1.0413559999745554E-15</v>
      </c>
      <c r="AE382" s="28">
        <f t="shared" si="243"/>
        <v>9.9880437540636097E-16</v>
      </c>
      <c r="AF382" s="28">
        <f t="shared" si="243"/>
        <v>9.7242119879039728E-16</v>
      </c>
      <c r="AG382" s="28"/>
    </row>
    <row r="383" spans="1:33" x14ac:dyDescent="0.2">
      <c r="A383" s="198" t="s">
        <v>314</v>
      </c>
      <c r="B383" s="64"/>
      <c r="C383" s="30">
        <v>-1</v>
      </c>
      <c r="D383" s="30">
        <v>-1</v>
      </c>
      <c r="E383" s="30">
        <v>-1</v>
      </c>
      <c r="F383" s="30">
        <v>-1</v>
      </c>
      <c r="G383" s="30">
        <v>-1</v>
      </c>
      <c r="H383" s="30">
        <v>-1</v>
      </c>
      <c r="I383" s="30">
        <v>-1</v>
      </c>
      <c r="J383" s="30">
        <v>-1</v>
      </c>
      <c r="K383" s="30">
        <v>-1</v>
      </c>
      <c r="L383" s="30">
        <v>-1</v>
      </c>
      <c r="M383" s="30">
        <v>-1</v>
      </c>
      <c r="N383" s="30">
        <v>-1</v>
      </c>
      <c r="O383" s="30">
        <v>-1</v>
      </c>
      <c r="P383" s="30">
        <v>-1</v>
      </c>
      <c r="Q383" s="30">
        <v>-1</v>
      </c>
      <c r="R383" s="30">
        <v>-1</v>
      </c>
      <c r="S383" s="30">
        <v>-1</v>
      </c>
      <c r="T383" s="30">
        <v>-1</v>
      </c>
      <c r="U383" s="30">
        <v>-1</v>
      </c>
      <c r="V383" s="30">
        <v>-1</v>
      </c>
      <c r="W383" s="30">
        <v>-1</v>
      </c>
      <c r="X383" s="30">
        <v>-1</v>
      </c>
      <c r="Y383" s="30">
        <v>-1</v>
      </c>
      <c r="Z383" s="30">
        <v>-1</v>
      </c>
      <c r="AA383" s="30">
        <v>-1</v>
      </c>
      <c r="AB383" s="30">
        <v>-1</v>
      </c>
      <c r="AC383" s="30">
        <v>-1</v>
      </c>
      <c r="AD383" s="30">
        <v>-1</v>
      </c>
      <c r="AE383" s="30">
        <v>-1</v>
      </c>
      <c r="AF383" s="30">
        <v>-1</v>
      </c>
      <c r="AG383" s="30"/>
    </row>
    <row r="384" spans="1:33" x14ac:dyDescent="0.2">
      <c r="A384" s="44" t="s">
        <v>479</v>
      </c>
      <c r="B384" s="64"/>
      <c r="C384" s="28">
        <f t="shared" ref="C384:AF384" si="244">C383*C279</f>
        <v>-7.8200611566945312E-17</v>
      </c>
      <c r="D384" s="28">
        <f t="shared" si="244"/>
        <v>-7.8200611566945312E-17</v>
      </c>
      <c r="E384" s="28">
        <f t="shared" si="244"/>
        <v>-7.8200611566945312E-17</v>
      </c>
      <c r="F384" s="28">
        <f t="shared" si="244"/>
        <v>-7.8200611566945312E-17</v>
      </c>
      <c r="G384" s="28">
        <f t="shared" si="244"/>
        <v>-7.8200611566945312E-17</v>
      </c>
      <c r="H384" s="28">
        <f t="shared" si="244"/>
        <v>-7.8200611566945312E-17</v>
      </c>
      <c r="I384" s="28">
        <f t="shared" si="244"/>
        <v>-7.8200611566945312E-17</v>
      </c>
      <c r="J384" s="28">
        <f t="shared" si="244"/>
        <v>-7.8200611566945312E-17</v>
      </c>
      <c r="K384" s="28">
        <f t="shared" si="244"/>
        <v>-7.8200611566945312E-17</v>
      </c>
      <c r="L384" s="28">
        <f t="shared" si="244"/>
        <v>-7.8200611566945312E-17</v>
      </c>
      <c r="M384" s="28">
        <f t="shared" si="244"/>
        <v>-7.8200611566945312E-17</v>
      </c>
      <c r="N384" s="28">
        <f t="shared" si="244"/>
        <v>-7.8200611566945312E-17</v>
      </c>
      <c r="O384" s="28">
        <f t="shared" si="244"/>
        <v>-7.8200611566945312E-17</v>
      </c>
      <c r="P384" s="28">
        <f t="shared" si="244"/>
        <v>-7.8200611566945312E-17</v>
      </c>
      <c r="Q384" s="28">
        <f t="shared" si="244"/>
        <v>-7.8200611566945312E-17</v>
      </c>
      <c r="R384" s="28">
        <f t="shared" si="244"/>
        <v>-7.8200611566945312E-17</v>
      </c>
      <c r="S384" s="28">
        <f t="shared" si="244"/>
        <v>-7.8200611566945312E-17</v>
      </c>
      <c r="T384" s="28">
        <f t="shared" si="244"/>
        <v>-7.8200611566945312E-17</v>
      </c>
      <c r="U384" s="28">
        <f t="shared" si="244"/>
        <v>-7.8200611566945312E-17</v>
      </c>
      <c r="V384" s="28">
        <f t="shared" si="244"/>
        <v>-7.8200611566945312E-17</v>
      </c>
      <c r="W384" s="28">
        <f t="shared" si="244"/>
        <v>-7.8200611566945312E-17</v>
      </c>
      <c r="X384" s="28">
        <f t="shared" si="244"/>
        <v>-7.8200611566945312E-17</v>
      </c>
      <c r="Y384" s="28">
        <f t="shared" si="244"/>
        <v>-7.8200611566945312E-17</v>
      </c>
      <c r="Z384" s="28">
        <f t="shared" si="244"/>
        <v>-7.8200611566945312E-17</v>
      </c>
      <c r="AA384" s="28">
        <f t="shared" si="244"/>
        <v>-7.8200611566945312E-17</v>
      </c>
      <c r="AB384" s="28">
        <f t="shared" si="244"/>
        <v>-7.8200611566945312E-17</v>
      </c>
      <c r="AC384" s="28">
        <f t="shared" si="244"/>
        <v>-7.8200611566945312E-17</v>
      </c>
      <c r="AD384" s="28">
        <f t="shared" si="244"/>
        <v>-7.8200611566945312E-17</v>
      </c>
      <c r="AE384" s="28">
        <f t="shared" si="244"/>
        <v>-7.8200611566945312E-17</v>
      </c>
      <c r="AF384" s="28">
        <f t="shared" si="244"/>
        <v>-7.8200611566945312E-17</v>
      </c>
      <c r="AG384" s="28"/>
    </row>
    <row r="385" spans="1:33" x14ac:dyDescent="0.2">
      <c r="A385" s="6" t="s">
        <v>411</v>
      </c>
      <c r="B385" s="64"/>
      <c r="C385" s="30">
        <f>((C173*C26*(1+2*C358))-(C166*C173)-C219)</f>
        <v>1.320446198846088E-12</v>
      </c>
      <c r="D385" s="30">
        <f t="shared" ref="D385:AF385" si="245">((D173*D26*(1+2*D358))-(D166*D173)-D219)</f>
        <v>7.5340381993603567E-14</v>
      </c>
      <c r="E385" s="30">
        <f t="shared" si="245"/>
        <v>1.5084951186584974E-13</v>
      </c>
      <c r="F385" s="30">
        <f t="shared" si="245"/>
        <v>2.5099148526103405E-13</v>
      </c>
      <c r="G385" s="30">
        <f t="shared" si="245"/>
        <v>3.2427523954516785E-13</v>
      </c>
      <c r="H385" s="30">
        <f t="shared" si="245"/>
        <v>1.4260839086923145E-13</v>
      </c>
      <c r="I385" s="30">
        <f t="shared" si="245"/>
        <v>2.4179273021893778E-13</v>
      </c>
      <c r="J385" s="30">
        <f t="shared" si="245"/>
        <v>1.9637080569035528E-13</v>
      </c>
      <c r="K385" s="30">
        <f t="shared" si="245"/>
        <v>1.0364543244348913E-11</v>
      </c>
      <c r="L385" s="30">
        <f t="shared" si="245"/>
        <v>7.3603513082220818E-12</v>
      </c>
      <c r="M385" s="30">
        <f t="shared" si="245"/>
        <v>6.7931116679373709E-12</v>
      </c>
      <c r="N385" s="30">
        <f t="shared" si="245"/>
        <v>1.0598708786974064E-11</v>
      </c>
      <c r="O385" s="30">
        <f t="shared" si="245"/>
        <v>2.7742814313663348E-12</v>
      </c>
      <c r="P385" s="30">
        <f t="shared" si="245"/>
        <v>5.7328571615297263E-12</v>
      </c>
      <c r="Q385" s="30">
        <f t="shared" si="245"/>
        <v>1.1195209829099421E-12</v>
      </c>
      <c r="R385" s="30">
        <f t="shared" si="245"/>
        <v>1.7270173491328487E-12</v>
      </c>
      <c r="S385" s="30">
        <f t="shared" si="245"/>
        <v>1.6665406440020555E-12</v>
      </c>
      <c r="T385" s="30">
        <f t="shared" si="245"/>
        <v>1.4876649374821958E-12</v>
      </c>
      <c r="U385" s="30">
        <f t="shared" si="245"/>
        <v>8.3915078726849703E-13</v>
      </c>
      <c r="V385" s="30">
        <f t="shared" si="245"/>
        <v>4.3554615975985931E-13</v>
      </c>
      <c r="W385" s="30">
        <f t="shared" si="245"/>
        <v>3.7616601572029033E-13</v>
      </c>
      <c r="X385" s="30">
        <f t="shared" si="245"/>
        <v>1.5758577198372528E-12</v>
      </c>
      <c r="Y385" s="30">
        <f t="shared" si="245"/>
        <v>1.0402581505479916E-12</v>
      </c>
      <c r="Z385" s="30">
        <f t="shared" si="245"/>
        <v>9.2650551476164012E-13</v>
      </c>
      <c r="AA385" s="30">
        <f t="shared" si="245"/>
        <v>1.0834817423181254E-11</v>
      </c>
      <c r="AB385" s="30">
        <f t="shared" si="245"/>
        <v>1.3273183961776759E-11</v>
      </c>
      <c r="AC385" s="30">
        <f t="shared" si="245"/>
        <v>6.253427437670884E-12</v>
      </c>
      <c r="AD385" s="30">
        <f t="shared" si="245"/>
        <v>1.516288288610183E-11</v>
      </c>
      <c r="AE385" s="30">
        <f t="shared" si="245"/>
        <v>1.3585473929706384E-11</v>
      </c>
      <c r="AF385" s="30">
        <f t="shared" si="245"/>
        <v>1.3960021593176688E-11</v>
      </c>
      <c r="AG385" s="30"/>
    </row>
    <row r="386" spans="1:33" x14ac:dyDescent="0.2">
      <c r="A386" s="31" t="s">
        <v>410</v>
      </c>
      <c r="B386" s="64"/>
      <c r="C386" s="30">
        <f>SQRT(C378*C378+C380*C380+C382*C382+C384*C384)</f>
        <v>1.6245303694809216E-16</v>
      </c>
      <c r="D386" s="30">
        <f t="shared" ref="D386:AF386" si="246">SQRT(D378*D378+D380*D380+D382*D382+D384*D384)</f>
        <v>1.0907442137736592E-16</v>
      </c>
      <c r="E386" s="30">
        <f t="shared" si="246"/>
        <v>1.2581346128717984E-16</v>
      </c>
      <c r="F386" s="30">
        <f t="shared" si="246"/>
        <v>1.248622139928664E-16</v>
      </c>
      <c r="G386" s="30">
        <f t="shared" si="246"/>
        <v>1.8626265071980664E-16</v>
      </c>
      <c r="H386" s="30">
        <f t="shared" si="246"/>
        <v>2.9535865058993141E-16</v>
      </c>
      <c r="I386" s="30">
        <f t="shared" si="246"/>
        <v>1.0587195671751043E-16</v>
      </c>
      <c r="J386" s="30">
        <f t="shared" si="246"/>
        <v>3.1458694550955184E-16</v>
      </c>
      <c r="K386" s="30">
        <f t="shared" si="246"/>
        <v>5.3047836921914405E-16</v>
      </c>
      <c r="L386" s="30">
        <f t="shared" si="246"/>
        <v>3.3640405220805674E-16</v>
      </c>
      <c r="M386" s="30">
        <f t="shared" si="246"/>
        <v>2.8363773308981032E-16</v>
      </c>
      <c r="N386" s="30">
        <f t="shared" si="246"/>
        <v>4.908511474726759E-16</v>
      </c>
      <c r="O386" s="30">
        <f t="shared" si="246"/>
        <v>1.572675755602402E-16</v>
      </c>
      <c r="P386" s="30">
        <f t="shared" si="246"/>
        <v>9.1749947259487267E-16</v>
      </c>
      <c r="Q386" s="30">
        <f t="shared" si="246"/>
        <v>1.2232006594406652E-16</v>
      </c>
      <c r="R386" s="30">
        <f t="shared" si="246"/>
        <v>1.4442264087753511E-16</v>
      </c>
      <c r="S386" s="30">
        <f t="shared" si="246"/>
        <v>1.3202838114376244E-16</v>
      </c>
      <c r="T386" s="30">
        <f t="shared" si="246"/>
        <v>1.2681471801655438E-16</v>
      </c>
      <c r="U386" s="30">
        <f t="shared" si="246"/>
        <v>1.4154714163850764E-16</v>
      </c>
      <c r="V386" s="30">
        <f t="shared" si="246"/>
        <v>9.6331983275793688E-17</v>
      </c>
      <c r="W386" s="30">
        <f t="shared" si="246"/>
        <v>9.0520288382004781E-17</v>
      </c>
      <c r="X386" s="30">
        <f t="shared" si="246"/>
        <v>1.1601187687149866E-16</v>
      </c>
      <c r="Y386" s="30">
        <f t="shared" si="246"/>
        <v>9.7736387354839717E-17</v>
      </c>
      <c r="Z386" s="30">
        <f t="shared" si="246"/>
        <v>1.2740678744842927E-16</v>
      </c>
      <c r="AA386" s="30">
        <f t="shared" si="246"/>
        <v>7.7452927655509966E-16</v>
      </c>
      <c r="AB386" s="30">
        <f t="shared" si="246"/>
        <v>1.0145736499892894E-15</v>
      </c>
      <c r="AC386" s="30">
        <f t="shared" si="246"/>
        <v>4.8343458708080504E-16</v>
      </c>
      <c r="AD386" s="30">
        <f t="shared" si="246"/>
        <v>1.0884937860306389E-15</v>
      </c>
      <c r="AE386" s="30">
        <f t="shared" si="246"/>
        <v>1.1336066504368863E-15</v>
      </c>
      <c r="AF386" s="30">
        <f t="shared" si="246"/>
        <v>1.03943231345225E-15</v>
      </c>
      <c r="AG386" s="30"/>
    </row>
    <row r="387" spans="1:33" x14ac:dyDescent="0.2">
      <c r="A387" s="42" t="s">
        <v>510</v>
      </c>
      <c r="B387" s="44"/>
      <c r="C387" s="81"/>
      <c r="D387" s="81"/>
      <c r="E387" s="81"/>
      <c r="F387" s="81"/>
      <c r="G387" s="81"/>
      <c r="H387" s="81"/>
      <c r="I387" s="81"/>
      <c r="J387" s="81"/>
      <c r="K387" s="81"/>
      <c r="L387" s="81"/>
      <c r="M387" s="81"/>
      <c r="N387" s="81"/>
      <c r="O387" s="81"/>
      <c r="P387" s="81"/>
      <c r="Q387" s="81"/>
      <c r="R387" s="81"/>
      <c r="S387" s="81"/>
      <c r="T387" s="81"/>
      <c r="U387" s="81"/>
      <c r="V387" s="81"/>
      <c r="W387" s="81"/>
      <c r="X387" s="81"/>
      <c r="Y387" s="81"/>
      <c r="Z387" s="81"/>
      <c r="AA387" s="81"/>
      <c r="AB387" s="81"/>
      <c r="AC387" s="81"/>
      <c r="AD387" s="81"/>
      <c r="AE387" s="81"/>
      <c r="AF387" s="81"/>
      <c r="AG387" s="40"/>
    </row>
    <row r="388" spans="1:33" x14ac:dyDescent="0.2">
      <c r="A388" s="198" t="s">
        <v>282</v>
      </c>
      <c r="B388" s="212"/>
      <c r="C388" s="79">
        <f>2*C173*C26</f>
        <v>2.6813544139506888E-12</v>
      </c>
      <c r="D388" s="79">
        <f t="shared" ref="D388:AF388" si="247">2*D173*D26</f>
        <v>1.8684602612040386E-13</v>
      </c>
      <c r="E388" s="79">
        <f t="shared" si="247"/>
        <v>3.3531540202873901E-13</v>
      </c>
      <c r="F388" s="79">
        <f t="shared" si="247"/>
        <v>5.4019440274038864E-13</v>
      </c>
      <c r="G388" s="79">
        <f t="shared" si="247"/>
        <v>6.9940664998654078E-13</v>
      </c>
      <c r="H388" s="79">
        <f t="shared" si="247"/>
        <v>3.2586448238552743E-13</v>
      </c>
      <c r="I388" s="79">
        <f t="shared" si="247"/>
        <v>5.1424024783191365E-13</v>
      </c>
      <c r="J388" s="79">
        <f t="shared" si="247"/>
        <v>4.2707208287551487E-13</v>
      </c>
      <c r="K388" s="79">
        <f t="shared" si="247"/>
        <v>2.0868141893937184E-11</v>
      </c>
      <c r="L388" s="79">
        <f t="shared" si="247"/>
        <v>1.4820449860216556E-11</v>
      </c>
      <c r="M388" s="79">
        <f t="shared" si="247"/>
        <v>1.3678926403891785E-11</v>
      </c>
      <c r="N388" s="79">
        <f t="shared" si="247"/>
        <v>2.1342309774072091E-11</v>
      </c>
      <c r="O388" s="79">
        <f t="shared" si="247"/>
        <v>5.5894503855902516E-12</v>
      </c>
      <c r="P388" s="79">
        <f t="shared" si="247"/>
        <v>1.1541487465283663E-11</v>
      </c>
      <c r="Q388" s="79">
        <f t="shared" si="247"/>
        <v>2.2970095606535211E-12</v>
      </c>
      <c r="R388" s="79">
        <f t="shared" si="247"/>
        <v>3.4884999620000003E-12</v>
      </c>
      <c r="S388" s="79">
        <f t="shared" si="247"/>
        <v>3.3688750699999998E-12</v>
      </c>
      <c r="T388" s="79">
        <f t="shared" si="247"/>
        <v>3.0239188660000003E-12</v>
      </c>
      <c r="U388" s="79">
        <f t="shared" si="247"/>
        <v>1.722345984E-12</v>
      </c>
      <c r="V388" s="79">
        <f t="shared" si="247"/>
        <v>9.1479396200000027E-13</v>
      </c>
      <c r="W388" s="79">
        <f t="shared" si="247"/>
        <v>8.164397488000001E-13</v>
      </c>
      <c r="X388" s="79">
        <f t="shared" si="247"/>
        <v>3.1844112000000004E-12</v>
      </c>
      <c r="Y388" s="79">
        <f t="shared" si="247"/>
        <v>2.1069318620000005E-12</v>
      </c>
      <c r="Z388" s="79">
        <f t="shared" si="247"/>
        <v>1.9044402719999998E-12</v>
      </c>
      <c r="AA388" s="79">
        <f t="shared" si="247"/>
        <v>2.1808818129887441E-11</v>
      </c>
      <c r="AB388" s="79">
        <f t="shared" si="247"/>
        <v>2.6731064774405848E-11</v>
      </c>
      <c r="AC388" s="79">
        <f t="shared" si="247"/>
        <v>1.2582740784186178E-11</v>
      </c>
      <c r="AD388" s="79">
        <f t="shared" si="247"/>
        <v>3.0563043239485707E-11</v>
      </c>
      <c r="AE388" s="79">
        <f t="shared" si="247"/>
        <v>2.7442075337339379E-11</v>
      </c>
      <c r="AF388" s="79">
        <f t="shared" si="247"/>
        <v>2.8105230862086032E-11</v>
      </c>
      <c r="AG388" s="79"/>
    </row>
    <row r="389" spans="1:33" x14ac:dyDescent="0.2">
      <c r="A389" s="44" t="s">
        <v>479</v>
      </c>
      <c r="B389" s="64"/>
      <c r="C389" s="28">
        <f>C388*C281</f>
        <v>1.3863192392240902E-16</v>
      </c>
      <c r="D389" s="28">
        <f t="shared" ref="D389:AF389" si="248">D388*D281</f>
        <v>9.6361856832490169E-18</v>
      </c>
      <c r="E389" s="28">
        <f t="shared" si="248"/>
        <v>1.736957990857712E-17</v>
      </c>
      <c r="F389" s="28">
        <f t="shared" si="248"/>
        <v>2.7810294410577656E-17</v>
      </c>
      <c r="G389" s="28">
        <f t="shared" si="248"/>
        <v>3.7637683234455127E-17</v>
      </c>
      <c r="H389" s="28">
        <f t="shared" si="248"/>
        <v>1.8420144024940589E-17</v>
      </c>
      <c r="I389" s="28">
        <f t="shared" si="248"/>
        <v>2.6270113884542031E-17</v>
      </c>
      <c r="J389" s="28">
        <f t="shared" si="248"/>
        <v>2.6694836281484286E-17</v>
      </c>
      <c r="K389" s="28">
        <f t="shared" si="248"/>
        <v>6.2660708201658E-16</v>
      </c>
      <c r="L389" s="28">
        <f t="shared" si="248"/>
        <v>4.2504546618582853E-16</v>
      </c>
      <c r="M389" s="28">
        <f t="shared" si="248"/>
        <v>3.8356644309887632E-16</v>
      </c>
      <c r="N389" s="28">
        <f t="shared" si="248"/>
        <v>6.2590685531067415E-16</v>
      </c>
      <c r="O389" s="28">
        <f t="shared" si="248"/>
        <v>1.6568974868435581E-16</v>
      </c>
      <c r="P389" s="28">
        <f t="shared" si="248"/>
        <v>7.5507577192650395E-16</v>
      </c>
      <c r="Q389" s="28">
        <f t="shared" si="248"/>
        <v>6.5256989513867893E-17</v>
      </c>
      <c r="R389" s="28">
        <f t="shared" si="248"/>
        <v>1.0974346560874878E-16</v>
      </c>
      <c r="S389" s="28">
        <f t="shared" si="248"/>
        <v>9.8391664749870773E-17</v>
      </c>
      <c r="T389" s="28">
        <f t="shared" si="248"/>
        <v>8.8305877828371587E-17</v>
      </c>
      <c r="U389" s="28">
        <f t="shared" si="248"/>
        <v>5.3130011630163094E-17</v>
      </c>
      <c r="V389" s="28">
        <f t="shared" si="248"/>
        <v>2.6894915616054564E-17</v>
      </c>
      <c r="W389" s="28">
        <f t="shared" si="248"/>
        <v>2.3260684274328312E-17</v>
      </c>
      <c r="X389" s="28">
        <f t="shared" si="248"/>
        <v>9.3475525052074357E-17</v>
      </c>
      <c r="Y389" s="28">
        <f t="shared" si="248"/>
        <v>6.0786369312729069E-17</v>
      </c>
      <c r="Z389" s="28">
        <f t="shared" si="248"/>
        <v>5.7613129041532772E-17</v>
      </c>
      <c r="AA389" s="28">
        <f t="shared" si="248"/>
        <v>1.1255364220992973E-15</v>
      </c>
      <c r="AB389" s="28">
        <f t="shared" si="248"/>
        <v>1.399620379550099E-15</v>
      </c>
      <c r="AC389" s="28">
        <f t="shared" si="248"/>
        <v>6.5398798418813647E-16</v>
      </c>
      <c r="AD389" s="28">
        <f t="shared" si="248"/>
        <v>1.5708073392398655E-15</v>
      </c>
      <c r="AE389" s="28">
        <f t="shared" si="248"/>
        <v>1.5107667293633811E-15</v>
      </c>
      <c r="AF389" s="28">
        <f t="shared" si="248"/>
        <v>1.4652331928111103E-15</v>
      </c>
      <c r="AG389" s="28"/>
    </row>
    <row r="390" spans="1:33" x14ac:dyDescent="0.2">
      <c r="A390" s="6" t="s">
        <v>411</v>
      </c>
      <c r="B390" s="64"/>
      <c r="C390" s="30">
        <f>((C173*C26*(1+2*C224))-(C166*C173)-C219)</f>
        <v>1.3223330773277113E-12</v>
      </c>
      <c r="D390" s="30">
        <f t="shared" ref="D390:AF390" si="249">((D173*D26*(1+2*D224))-(D166*D173)-D219)</f>
        <v>7.5392300369546041E-14</v>
      </c>
      <c r="E390" s="30">
        <f t="shared" si="249"/>
        <v>1.5096444184144339E-13</v>
      </c>
      <c r="F390" s="30">
        <f t="shared" si="249"/>
        <v>2.5118654075832954E-13</v>
      </c>
      <c r="G390" s="30">
        <f t="shared" si="249"/>
        <v>3.2450099707034246E-13</v>
      </c>
      <c r="H390" s="30">
        <f t="shared" si="249"/>
        <v>1.4274443640379418E-13</v>
      </c>
      <c r="I390" s="30">
        <f t="shared" si="249"/>
        <v>2.4200143238996737E-13</v>
      </c>
      <c r="J390" s="30">
        <f t="shared" si="249"/>
        <v>1.9652328000494702E-13</v>
      </c>
      <c r="K390" s="30">
        <f t="shared" si="249"/>
        <v>1.0410242287501075E-11</v>
      </c>
      <c r="L390" s="30">
        <f t="shared" si="249"/>
        <v>7.3919398667336344E-12</v>
      </c>
      <c r="M390" s="30">
        <f t="shared" si="249"/>
        <v>6.8249646733918425E-12</v>
      </c>
      <c r="N390" s="30">
        <f t="shared" si="249"/>
        <v>1.0651535517775457E-11</v>
      </c>
      <c r="O390" s="30">
        <f t="shared" si="249"/>
        <v>2.783053941543356E-12</v>
      </c>
      <c r="P390" s="30">
        <f t="shared" si="249"/>
        <v>5.7568712601984962E-12</v>
      </c>
      <c r="Q390" s="30">
        <f t="shared" si="249"/>
        <v>1.1207982360565281E-12</v>
      </c>
      <c r="R390" s="30">
        <f t="shared" si="249"/>
        <v>1.7308761526494904E-12</v>
      </c>
      <c r="S390" s="30">
        <f t="shared" si="249"/>
        <v>1.669953075229297E-12</v>
      </c>
      <c r="T390" s="30">
        <f t="shared" si="249"/>
        <v>1.4899373863186216E-12</v>
      </c>
      <c r="U390" s="30">
        <f t="shared" si="249"/>
        <v>8.4013836772899897E-13</v>
      </c>
      <c r="V390" s="30">
        <f t="shared" si="249"/>
        <v>4.359397632246784E-13</v>
      </c>
      <c r="W390" s="30">
        <f t="shared" si="249"/>
        <v>3.7645509836580296E-13</v>
      </c>
      <c r="X390" s="30">
        <f t="shared" si="249"/>
        <v>1.5792109996016439E-12</v>
      </c>
      <c r="Y390" s="30">
        <f t="shared" si="249"/>
        <v>1.0420837262478616E-12</v>
      </c>
      <c r="Z390" s="30">
        <f t="shared" si="249"/>
        <v>9.2753286442229587E-13</v>
      </c>
      <c r="AA390" s="30">
        <f t="shared" si="249"/>
        <v>1.0900047030588432E-11</v>
      </c>
      <c r="AB390" s="30">
        <f t="shared" si="249"/>
        <v>1.3364947188195822E-11</v>
      </c>
      <c r="AC390" s="30">
        <f t="shared" si="249"/>
        <v>6.2755217901665937E-12</v>
      </c>
      <c r="AD390" s="30">
        <f t="shared" si="249"/>
        <v>1.5282141498348666E-11</v>
      </c>
      <c r="AE390" s="30">
        <f t="shared" si="249"/>
        <v>1.3727183594347238E-11</v>
      </c>
      <c r="AF390" s="30">
        <f t="shared" si="249"/>
        <v>1.4049817413786381E-11</v>
      </c>
      <c r="AG390" s="30"/>
    </row>
    <row r="391" spans="1:33" x14ac:dyDescent="0.2">
      <c r="A391" s="31" t="s">
        <v>410</v>
      </c>
      <c r="B391" s="64"/>
      <c r="C391" s="30">
        <f>SQRT(C378*C378+C380*C380+C389*C389+C384*C384)</f>
        <v>1.9255966383943095E-16</v>
      </c>
      <c r="D391" s="30">
        <f t="shared" ref="D391:AF391" si="250">SQRT(D378*D378+D380*D380+D389*D389+D384*D384)</f>
        <v>1.0931061504544095E-16</v>
      </c>
      <c r="E391" s="30">
        <f t="shared" si="250"/>
        <v>1.2647795014821591E-16</v>
      </c>
      <c r="F391" s="30">
        <f t="shared" si="250"/>
        <v>1.2657144888142826E-16</v>
      </c>
      <c r="G391" s="30">
        <f t="shared" si="250"/>
        <v>1.8836388066301075E-16</v>
      </c>
      <c r="H391" s="30">
        <f t="shared" si="250"/>
        <v>2.9567742202749192E-16</v>
      </c>
      <c r="I391" s="30">
        <f t="shared" si="250"/>
        <v>1.0766805824478354E-16</v>
      </c>
      <c r="J391" s="30">
        <f t="shared" si="250"/>
        <v>3.1521593202376922E-16</v>
      </c>
      <c r="K391" s="30">
        <f t="shared" si="250"/>
        <v>7.0744182205445815E-16</v>
      </c>
      <c r="L391" s="30">
        <f t="shared" si="250"/>
        <v>4.6262130623800396E-16</v>
      </c>
      <c r="M391" s="30">
        <f t="shared" si="250"/>
        <v>4.0324152249474421E-16</v>
      </c>
      <c r="N391" s="30">
        <f t="shared" si="250"/>
        <v>6.780565942237754E-16</v>
      </c>
      <c r="O391" s="30">
        <f t="shared" si="250"/>
        <v>2.0008593992398658E-16</v>
      </c>
      <c r="P391" s="30">
        <f t="shared" si="250"/>
        <v>1.0774750573241012E-15</v>
      </c>
      <c r="Q391" s="30">
        <f t="shared" si="250"/>
        <v>1.3164133454371027E-16</v>
      </c>
      <c r="R391" s="30">
        <f t="shared" si="250"/>
        <v>1.6602223858955905E-16</v>
      </c>
      <c r="S391" s="30">
        <f t="shared" si="250"/>
        <v>1.5105956444087012E-16</v>
      </c>
      <c r="T391" s="30">
        <f t="shared" si="250"/>
        <v>1.428974675448464E-16</v>
      </c>
      <c r="U391" s="30">
        <f t="shared" si="250"/>
        <v>1.4698600988118138E-16</v>
      </c>
      <c r="V391" s="30">
        <f t="shared" si="250"/>
        <v>9.839535121799158E-17</v>
      </c>
      <c r="W391" s="30">
        <f t="shared" si="250"/>
        <v>9.2165821553280338E-17</v>
      </c>
      <c r="X391" s="30">
        <f t="shared" si="250"/>
        <v>1.3536296390430117E-16</v>
      </c>
      <c r="Y391" s="30">
        <f t="shared" si="250"/>
        <v>1.0774379145401183E-16</v>
      </c>
      <c r="Z391" s="30">
        <f t="shared" si="250"/>
        <v>1.34450342774851E-16</v>
      </c>
      <c r="AA391" s="30">
        <f t="shared" si="250"/>
        <v>1.143775161029504E-15</v>
      </c>
      <c r="AB391" s="30">
        <f t="shared" si="250"/>
        <v>1.4581782222629235E-15</v>
      </c>
      <c r="AC391" s="30">
        <f t="shared" si="250"/>
        <v>6.8714184406910047E-16</v>
      </c>
      <c r="AD391" s="30">
        <f t="shared" si="250"/>
        <v>1.6024456622781735E-15</v>
      </c>
      <c r="AE391" s="30">
        <f t="shared" si="250"/>
        <v>1.6030813978507683E-15</v>
      </c>
      <c r="AF391" s="30">
        <f t="shared" si="250"/>
        <v>1.5105379358715833E-15</v>
      </c>
      <c r="AG391" s="30"/>
    </row>
    <row r="392" spans="1:33" x14ac:dyDescent="0.2">
      <c r="A392" s="42" t="s">
        <v>509</v>
      </c>
      <c r="B392" s="64"/>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c r="AA392" s="28"/>
      <c r="AB392" s="28"/>
      <c r="AC392" s="28"/>
      <c r="AD392" s="28"/>
      <c r="AE392" s="28"/>
      <c r="AF392" s="28"/>
      <c r="AG392" s="28"/>
    </row>
    <row r="393" spans="1:33" x14ac:dyDescent="0.2">
      <c r="A393" s="198" t="s">
        <v>505</v>
      </c>
      <c r="B393" s="64"/>
      <c r="C393" s="30">
        <f>C173*(1+5*C224)</f>
        <v>7.9439647018387545E-12</v>
      </c>
      <c r="D393" s="30">
        <f t="shared" ref="D393:AF393" si="251">D173*(1+5*D224)</f>
        <v>6.9363689541515824E-12</v>
      </c>
      <c r="E393" s="30">
        <f t="shared" si="251"/>
        <v>6.4772999971236009E-12</v>
      </c>
      <c r="F393" s="30">
        <f t="shared" si="251"/>
        <v>7.4018057646256602E-12</v>
      </c>
      <c r="G393" s="30">
        <f t="shared" si="251"/>
        <v>9.8638083803190484E-12</v>
      </c>
      <c r="H393" s="30">
        <f t="shared" si="251"/>
        <v>7.8755468760924117E-12</v>
      </c>
      <c r="I393" s="30">
        <f t="shared" si="251"/>
        <v>5.9393637625404551E-12</v>
      </c>
      <c r="J393" s="30">
        <f t="shared" si="251"/>
        <v>6.6314140632944478E-12</v>
      </c>
      <c r="K393" s="30">
        <f t="shared" si="251"/>
        <v>1.3254206413600674E-11</v>
      </c>
      <c r="L393" s="30">
        <f t="shared" si="251"/>
        <v>9.6375536859173195E-12</v>
      </c>
      <c r="M393" s="30">
        <f t="shared" si="251"/>
        <v>8.0305687785796531E-12</v>
      </c>
      <c r="N393" s="30">
        <f t="shared" si="251"/>
        <v>1.1745853654599209E-11</v>
      </c>
      <c r="O393" s="30">
        <f t="shared" si="251"/>
        <v>5.3235402497076521E-12</v>
      </c>
      <c r="P393" s="30">
        <f t="shared" si="251"/>
        <v>7.936865674138244E-12</v>
      </c>
      <c r="Q393" s="30">
        <f t="shared" si="251"/>
        <v>9.5385784012815356E-12</v>
      </c>
      <c r="R393" s="30">
        <f t="shared" si="251"/>
        <v>5.3250686439702428E-12</v>
      </c>
      <c r="S393" s="30">
        <f t="shared" si="251"/>
        <v>5.5229121507845153E-12</v>
      </c>
      <c r="T393" s="30">
        <f t="shared" si="251"/>
        <v>7.9349821564005917E-12</v>
      </c>
      <c r="U393" s="30">
        <f t="shared" si="251"/>
        <v>7.231448277415094E-12</v>
      </c>
      <c r="V393" s="30">
        <f t="shared" si="251"/>
        <v>7.1300085122540278E-12</v>
      </c>
      <c r="W393" s="30">
        <f t="shared" si="251"/>
        <v>1.0441579275724359E-11</v>
      </c>
      <c r="X393" s="30">
        <f t="shared" si="251"/>
        <v>5.0216146869467708E-12</v>
      </c>
      <c r="Y393" s="30">
        <f t="shared" si="251"/>
        <v>4.1154440697948145E-12</v>
      </c>
      <c r="Z393" s="30">
        <f t="shared" si="251"/>
        <v>8.4343228913191494E-12</v>
      </c>
      <c r="AA393" s="30">
        <f t="shared" si="251"/>
        <v>1.003132593964797E-11</v>
      </c>
      <c r="AB393" s="30">
        <f t="shared" si="251"/>
        <v>1.0571981093854166E-11</v>
      </c>
      <c r="AC393" s="30">
        <f t="shared" si="251"/>
        <v>1.056772198599417E-11</v>
      </c>
      <c r="AD393" s="30">
        <f t="shared" si="251"/>
        <v>1.0412473895903215E-11</v>
      </c>
      <c r="AE393" s="30">
        <f t="shared" si="251"/>
        <v>6.9409282893403498E-12</v>
      </c>
      <c r="AF393" s="30">
        <f t="shared" si="251"/>
        <v>1.2038538762023604E-11</v>
      </c>
      <c r="AG393" s="30"/>
    </row>
    <row r="394" spans="1:33" x14ac:dyDescent="0.2">
      <c r="A394" s="44" t="s">
        <v>479</v>
      </c>
      <c r="B394" s="64"/>
      <c r="C394" s="28">
        <f>C393*C258</f>
        <v>1.1101136233822448E-16</v>
      </c>
      <c r="D394" s="28">
        <f t="shared" ref="D394:AF394" si="252">D393*D258</f>
        <v>7.6145613396694953E-17</v>
      </c>
      <c r="E394" s="28">
        <f t="shared" si="252"/>
        <v>9.676495367506513E-17</v>
      </c>
      <c r="F394" s="28">
        <f t="shared" si="252"/>
        <v>9.5455393702313746E-17</v>
      </c>
      <c r="G394" s="28">
        <f t="shared" si="252"/>
        <v>1.6634670128429956E-16</v>
      </c>
      <c r="H394" s="28">
        <f t="shared" si="252"/>
        <v>2.8612422958978398E-16</v>
      </c>
      <c r="I394" s="28">
        <f t="shared" si="252"/>
        <v>6.6810870255335168E-17</v>
      </c>
      <c r="J394" s="28">
        <f t="shared" si="252"/>
        <v>3.0043661878777275E-16</v>
      </c>
      <c r="K394" s="28">
        <f t="shared" si="252"/>
        <v>4.5394893886053332E-16</v>
      </c>
      <c r="L394" s="28">
        <f t="shared" si="252"/>
        <v>1.8608602337602243E-16</v>
      </c>
      <c r="M394" s="28">
        <f t="shared" si="252"/>
        <v>1.2195386467998273E-16</v>
      </c>
      <c r="N394" s="28">
        <f t="shared" si="252"/>
        <v>3.3627786222165093E-16</v>
      </c>
      <c r="O394" s="28">
        <f t="shared" si="252"/>
        <v>9.7125318589967565E-17</v>
      </c>
      <c r="P394" s="28">
        <f t="shared" si="252"/>
        <v>7.9694761046936829E-16</v>
      </c>
      <c r="Q394" s="28">
        <f t="shared" si="252"/>
        <v>8.9369391720661851E-17</v>
      </c>
      <c r="R394" s="28">
        <f t="shared" si="252"/>
        <v>1.0494981112216354E-16</v>
      </c>
      <c r="S394" s="28">
        <f t="shared" si="252"/>
        <v>9.4040102101292604E-17</v>
      </c>
      <c r="T394" s="28">
        <f t="shared" si="252"/>
        <v>8.0360076111564032E-17</v>
      </c>
      <c r="U394" s="28">
        <f t="shared" si="252"/>
        <v>1.1637323465171445E-16</v>
      </c>
      <c r="V394" s="28">
        <f t="shared" si="252"/>
        <v>6.3225504627138967E-17</v>
      </c>
      <c r="W394" s="28">
        <f t="shared" si="252"/>
        <v>4.6935087556062663E-17</v>
      </c>
      <c r="X394" s="28">
        <f t="shared" si="252"/>
        <v>6.0631500825454609E-17</v>
      </c>
      <c r="Y394" s="28">
        <f t="shared" si="252"/>
        <v>4.0519937700034137E-17</v>
      </c>
      <c r="Z394" s="28">
        <f t="shared" si="252"/>
        <v>1.0845104324206604E-16</v>
      </c>
      <c r="AA394" s="28">
        <f t="shared" si="252"/>
        <v>3.173332032882232E-16</v>
      </c>
      <c r="AB394" s="28">
        <f t="shared" si="252"/>
        <v>4.5061170681567818E-16</v>
      </c>
      <c r="AC394" s="28">
        <f t="shared" si="252"/>
        <v>2.5286077450462808E-16</v>
      </c>
      <c r="AD394" s="28">
        <f t="shared" si="252"/>
        <v>3.7815373630696735E-16</v>
      </c>
      <c r="AE394" s="28">
        <f t="shared" si="252"/>
        <v>6.1710954471955538E-16</v>
      </c>
      <c r="AF394" s="28">
        <f t="shared" si="252"/>
        <v>4.4109603991030354E-16</v>
      </c>
      <c r="AG394" s="28"/>
    </row>
    <row r="395" spans="1:33" x14ac:dyDescent="0.2">
      <c r="A395" s="198" t="s">
        <v>506</v>
      </c>
      <c r="B395" s="64"/>
      <c r="C395" s="30">
        <f>-C173</f>
        <v>-7.9084667275429643E-12</v>
      </c>
      <c r="D395" s="30">
        <f t="shared" ref="D395:AF395" si="253">-D173</f>
        <v>-6.9103107328045309E-12</v>
      </c>
      <c r="E395" s="30">
        <f t="shared" si="253"/>
        <v>-6.4496233506175623E-12</v>
      </c>
      <c r="F395" s="30">
        <f t="shared" si="253"/>
        <v>-7.3709981149915004E-12</v>
      </c>
      <c r="G395" s="30">
        <f t="shared" si="253"/>
        <v>-9.827997486655335E-12</v>
      </c>
      <c r="H395" s="30">
        <f t="shared" si="253"/>
        <v>-7.8316854971784699E-12</v>
      </c>
      <c r="I395" s="30">
        <f t="shared" si="253"/>
        <v>-5.9121547380660992E-12</v>
      </c>
      <c r="J395" s="30">
        <f t="shared" si="253"/>
        <v>-6.6031858113465526E-12</v>
      </c>
      <c r="K395" s="30">
        <f t="shared" si="253"/>
        <v>-1.3200000003755525E-11</v>
      </c>
      <c r="L395" s="30">
        <f t="shared" si="253"/>
        <v>-9.6000000027312901E-12</v>
      </c>
      <c r="M395" s="30">
        <f t="shared" si="253"/>
        <v>-8.0000000022760762E-12</v>
      </c>
      <c r="N395" s="30">
        <f t="shared" si="253"/>
        <v>-1.1700000003328761E-11</v>
      </c>
      <c r="O395" s="30">
        <f t="shared" si="253"/>
        <v>-5.3000000015078998E-12</v>
      </c>
      <c r="P395" s="30">
        <f t="shared" si="253"/>
        <v>-7.9000000022476257E-12</v>
      </c>
      <c r="Q395" s="30">
        <f t="shared" si="253"/>
        <v>-9.5000000027028396E-12</v>
      </c>
      <c r="R395" s="30">
        <f t="shared" si="253"/>
        <v>-5.3000000000000004E-12</v>
      </c>
      <c r="S395" s="30">
        <f t="shared" si="253"/>
        <v>-5.5000000000000004E-12</v>
      </c>
      <c r="T395" s="30">
        <f t="shared" si="253"/>
        <v>-7.9000000000000015E-12</v>
      </c>
      <c r="U395" s="30">
        <f t="shared" si="253"/>
        <v>-7.2E-12</v>
      </c>
      <c r="V395" s="30">
        <f t="shared" si="253"/>
        <v>-7.1000000000000008E-12</v>
      </c>
      <c r="W395" s="30">
        <f t="shared" si="253"/>
        <v>-1.0400000000000001E-11</v>
      </c>
      <c r="X395" s="30">
        <f t="shared" si="253"/>
        <v>-5.0000000000000005E-12</v>
      </c>
      <c r="Y395" s="30">
        <f t="shared" si="253"/>
        <v>-4.1000000000000007E-12</v>
      </c>
      <c r="Z395" s="30">
        <f t="shared" si="253"/>
        <v>-8.3999999999999998E-12</v>
      </c>
      <c r="AA395" s="30">
        <f t="shared" si="253"/>
        <v>-9.9815599473843237E-12</v>
      </c>
      <c r="AB395" s="30">
        <f t="shared" si="253"/>
        <v>-1.0519028559935788E-11</v>
      </c>
      <c r="AC395" s="30">
        <f t="shared" si="253"/>
        <v>-1.0519028559935788E-11</v>
      </c>
      <c r="AD395" s="30">
        <f t="shared" si="253"/>
        <v>-1.0365466099206797E-11</v>
      </c>
      <c r="AE395" s="30">
        <f t="shared" si="253"/>
        <v>-6.9103107328045309E-12</v>
      </c>
      <c r="AF395" s="30">
        <f t="shared" si="253"/>
        <v>-1.1977871936861187E-11</v>
      </c>
      <c r="AG395" s="30"/>
    </row>
    <row r="396" spans="1:33" x14ac:dyDescent="0.2">
      <c r="A396" s="44" t="s">
        <v>479</v>
      </c>
      <c r="B396" s="64"/>
      <c r="C396" s="28">
        <f>C395*C269</f>
        <v>-1.4206522546232692E-17</v>
      </c>
      <c r="D396" s="28">
        <f t="shared" ref="D396:AF396" si="254">D395*D269</f>
        <v>-1.2413466302533419E-17</v>
      </c>
      <c r="E396" s="28">
        <f t="shared" si="254"/>
        <v>-1.1585901882364524E-17</v>
      </c>
      <c r="F396" s="28">
        <f t="shared" si="254"/>
        <v>-1.3241030722702315E-17</v>
      </c>
      <c r="G396" s="28">
        <f t="shared" si="254"/>
        <v>-1.7654707630269754E-17</v>
      </c>
      <c r="H396" s="28">
        <f t="shared" si="254"/>
        <v>-1.4068595142871212E-17</v>
      </c>
      <c r="I396" s="28">
        <f t="shared" si="254"/>
        <v>-1.0620410058834148E-17</v>
      </c>
      <c r="J396" s="28">
        <f t="shared" si="254"/>
        <v>-1.1861756689087491E-17</v>
      </c>
      <c r="K396" s="28">
        <f t="shared" si="254"/>
        <v>-6.796684837322211E-18</v>
      </c>
      <c r="L396" s="28">
        <f t="shared" si="254"/>
        <v>-4.9430435180525173E-18</v>
      </c>
      <c r="M396" s="28">
        <f t="shared" si="254"/>
        <v>-4.1192029317104312E-18</v>
      </c>
      <c r="N396" s="28">
        <f t="shared" si="254"/>
        <v>-6.024334287626506E-18</v>
      </c>
      <c r="O396" s="28">
        <f t="shared" si="254"/>
        <v>-2.7289719422581605E-18</v>
      </c>
      <c r="P396" s="28">
        <f t="shared" si="254"/>
        <v>-4.0677128950640508E-18</v>
      </c>
      <c r="Q396" s="28">
        <f t="shared" si="254"/>
        <v>-4.8915534814061369E-18</v>
      </c>
      <c r="R396" s="28">
        <f t="shared" si="254"/>
        <v>-2.7363357445910043E-18</v>
      </c>
      <c r="S396" s="28">
        <f t="shared" si="254"/>
        <v>-2.8395936972170798E-18</v>
      </c>
      <c r="T396" s="28">
        <f t="shared" si="254"/>
        <v>-4.0786891287299876E-18</v>
      </c>
      <c r="U396" s="28">
        <f t="shared" si="254"/>
        <v>-3.7172862945387227E-18</v>
      </c>
      <c r="V396" s="28">
        <f t="shared" si="254"/>
        <v>-3.6656573182256855E-18</v>
      </c>
      <c r="W396" s="28">
        <f t="shared" si="254"/>
        <v>-5.3694135365559327E-18</v>
      </c>
      <c r="X396" s="28">
        <f t="shared" si="254"/>
        <v>-2.5814488156518908E-18</v>
      </c>
      <c r="Y396" s="28">
        <f t="shared" si="254"/>
        <v>-2.1167880288345508E-18</v>
      </c>
      <c r="Z396" s="28">
        <f t="shared" si="254"/>
        <v>-4.3368340102951759E-18</v>
      </c>
      <c r="AA396" s="28">
        <f t="shared" si="254"/>
        <v>-1.7930562436992718E-17</v>
      </c>
      <c r="AB396" s="28">
        <f t="shared" si="254"/>
        <v>-1.8896054260523095E-17</v>
      </c>
      <c r="AC396" s="28">
        <f t="shared" si="254"/>
        <v>-1.8896054260523095E-17</v>
      </c>
      <c r="AD396" s="28">
        <f t="shared" si="254"/>
        <v>-1.8620199453800131E-17</v>
      </c>
      <c r="AE396" s="28">
        <f t="shared" si="254"/>
        <v>-1.2413466302533419E-17</v>
      </c>
      <c r="AF396" s="28">
        <f t="shared" si="254"/>
        <v>-2.151667492439126E-17</v>
      </c>
      <c r="AG396" s="28"/>
    </row>
    <row r="397" spans="1:33" x14ac:dyDescent="0.2">
      <c r="A397" s="198" t="s">
        <v>282</v>
      </c>
      <c r="B397" s="64"/>
      <c r="C397" s="30">
        <f>5*C173*C30</f>
        <v>6.652186225859273E-12</v>
      </c>
      <c r="D397" s="30">
        <f t="shared" ref="D397:AF397" si="255">5*D173*D30</f>
        <v>4.6322614972990921E-13</v>
      </c>
      <c r="E397" s="30">
        <f t="shared" si="255"/>
        <v>8.3101500683442206E-13</v>
      </c>
      <c r="F397" s="30">
        <f t="shared" si="255"/>
        <v>1.3393228513357604E-12</v>
      </c>
      <c r="G397" s="30">
        <f t="shared" si="255"/>
        <v>1.7340797880583292E-12</v>
      </c>
      <c r="H397" s="30">
        <f t="shared" si="255"/>
        <v>8.0696716233925304E-13</v>
      </c>
      <c r="I397" s="30">
        <f t="shared" si="255"/>
        <v>1.274550979738981E-12</v>
      </c>
      <c r="J397" s="30">
        <f t="shared" si="255"/>
        <v>1.058621956892782E-12</v>
      </c>
      <c r="K397" s="30">
        <f t="shared" si="255"/>
        <v>5.2642178834977199E-11</v>
      </c>
      <c r="L397" s="30">
        <f t="shared" si="255"/>
        <v>3.7384399210636216E-11</v>
      </c>
      <c r="M397" s="30">
        <f t="shared" si="255"/>
        <v>3.4478898809809571E-11</v>
      </c>
      <c r="N397" s="30">
        <f t="shared" si="255"/>
        <v>5.3895240375333708E-11</v>
      </c>
      <c r="O397" s="30">
        <f t="shared" si="255"/>
        <v>1.4071648669003516E-11</v>
      </c>
      <c r="P397" s="30">
        <f t="shared" si="255"/>
        <v>2.9099172848278993E-11</v>
      </c>
      <c r="Q397" s="30">
        <f t="shared" si="255"/>
        <v>5.7655965516403662E-12</v>
      </c>
      <c r="R397" s="30">
        <f t="shared" si="255"/>
        <v>8.7685293500000016E-12</v>
      </c>
      <c r="S397" s="30">
        <f t="shared" si="255"/>
        <v>8.4681126749999995E-12</v>
      </c>
      <c r="T397" s="30">
        <f t="shared" si="255"/>
        <v>7.5941736200000012E-12</v>
      </c>
      <c r="U397" s="30">
        <f t="shared" si="255"/>
        <v>4.3232965199999993E-12</v>
      </c>
      <c r="V397" s="30">
        <f t="shared" si="255"/>
        <v>2.2955478600000003E-12</v>
      </c>
      <c r="W397" s="30">
        <f t="shared" si="255"/>
        <v>2.0485781160000002E-12</v>
      </c>
      <c r="X397" s="30">
        <f t="shared" si="255"/>
        <v>8.0052270000000009E-12</v>
      </c>
      <c r="Y397" s="30">
        <f t="shared" si="255"/>
        <v>5.2952069900000014E-12</v>
      </c>
      <c r="Z397" s="30">
        <f t="shared" si="255"/>
        <v>4.7807276999999994E-12</v>
      </c>
      <c r="AA397" s="30">
        <f t="shared" si="255"/>
        <v>5.4461147827479614E-11</v>
      </c>
      <c r="AB397" s="30">
        <f t="shared" si="255"/>
        <v>6.6838591206688388E-11</v>
      </c>
      <c r="AC397" s="30">
        <f t="shared" si="255"/>
        <v>3.1313470763824955E-11</v>
      </c>
      <c r="AD397" s="30">
        <f t="shared" si="255"/>
        <v>7.6553838911708819E-11</v>
      </c>
      <c r="AE397" s="30">
        <f t="shared" si="255"/>
        <v>6.8998163894101579E-11</v>
      </c>
      <c r="AF397" s="30">
        <f t="shared" si="255"/>
        <v>7.0226586568359424E-11</v>
      </c>
      <c r="AG397" s="30"/>
    </row>
    <row r="398" spans="1:33" x14ac:dyDescent="0.2">
      <c r="A398" s="44" t="s">
        <v>479</v>
      </c>
      <c r="B398" s="64"/>
      <c r="C398" s="28">
        <f>C397*C281</f>
        <v>3.4393266700698808E-16</v>
      </c>
      <c r="D398" s="28">
        <f t="shared" ref="D398:AF398" si="256">D397*D281</f>
        <v>2.3889901673677983E-17</v>
      </c>
      <c r="E398" s="28">
        <f t="shared" si="256"/>
        <v>4.3047177311587144E-17</v>
      </c>
      <c r="F398" s="28">
        <f t="shared" si="256"/>
        <v>6.8951034326733474E-17</v>
      </c>
      <c r="G398" s="28">
        <f t="shared" si="256"/>
        <v>9.3317307988802299E-17</v>
      </c>
      <c r="H398" s="28">
        <f t="shared" si="256"/>
        <v>4.5615438801030947E-17</v>
      </c>
      <c r="I398" s="28">
        <f t="shared" si="256"/>
        <v>6.5110810619284495E-17</v>
      </c>
      <c r="J398" s="28">
        <f t="shared" si="256"/>
        <v>6.6170890012201113E-17</v>
      </c>
      <c r="K398" s="28">
        <f t="shared" si="256"/>
        <v>1.5806851533994712E-15</v>
      </c>
      <c r="L398" s="28">
        <f t="shared" si="256"/>
        <v>1.0721718666055259E-15</v>
      </c>
      <c r="M398" s="28">
        <f t="shared" si="256"/>
        <v>9.6681188186538613E-16</v>
      </c>
      <c r="N398" s="28">
        <f t="shared" si="256"/>
        <v>1.5805880795769979E-15</v>
      </c>
      <c r="O398" s="28">
        <f t="shared" si="256"/>
        <v>4.1713008805883352E-16</v>
      </c>
      <c r="P398" s="28">
        <f t="shared" si="256"/>
        <v>1.9037477159619305E-15</v>
      </c>
      <c r="Q398" s="28">
        <f t="shared" si="256"/>
        <v>1.6379795720334E-16</v>
      </c>
      <c r="R398" s="28">
        <f t="shared" si="256"/>
        <v>2.758460110773048E-16</v>
      </c>
      <c r="S398" s="28">
        <f t="shared" si="256"/>
        <v>2.4732045150689764E-16</v>
      </c>
      <c r="T398" s="28">
        <f t="shared" si="256"/>
        <v>2.2176857171509919E-16</v>
      </c>
      <c r="U398" s="28">
        <f t="shared" si="256"/>
        <v>1.3336274855461536E-16</v>
      </c>
      <c r="V398" s="28">
        <f t="shared" si="256"/>
        <v>6.7489039665649466E-17</v>
      </c>
      <c r="W398" s="28">
        <f t="shared" si="256"/>
        <v>5.8364782995453191E-17</v>
      </c>
      <c r="X398" s="28">
        <f t="shared" si="256"/>
        <v>2.3498623449950245E-16</v>
      </c>
      <c r="Y398" s="28">
        <f t="shared" si="256"/>
        <v>1.5277020272309329E-16</v>
      </c>
      <c r="Z398" s="28">
        <f t="shared" si="256"/>
        <v>1.4462657923279315E-16</v>
      </c>
      <c r="AA398" s="28">
        <f t="shared" si="256"/>
        <v>2.8106981819962887E-15</v>
      </c>
      <c r="AB398" s="28">
        <f t="shared" si="256"/>
        <v>3.4996231980579014E-15</v>
      </c>
      <c r="AC398" s="28">
        <f t="shared" si="256"/>
        <v>1.6275177224111063E-15</v>
      </c>
      <c r="AD398" s="28">
        <f t="shared" si="256"/>
        <v>3.9345339751422645E-15</v>
      </c>
      <c r="AE398" s="28">
        <f t="shared" si="256"/>
        <v>3.7985512799950238E-15</v>
      </c>
      <c r="AF398" s="28">
        <f t="shared" si="256"/>
        <v>3.6611805881514038E-15</v>
      </c>
      <c r="AG398" s="28"/>
    </row>
    <row r="399" spans="1:33" x14ac:dyDescent="0.2">
      <c r="A399" s="198" t="s">
        <v>314</v>
      </c>
      <c r="B399" s="64"/>
      <c r="C399" s="30">
        <v>-1</v>
      </c>
      <c r="D399" s="30">
        <v>-1</v>
      </c>
      <c r="E399" s="30">
        <v>-1</v>
      </c>
      <c r="F399" s="30">
        <v>-1</v>
      </c>
      <c r="G399" s="30">
        <v>-1</v>
      </c>
      <c r="H399" s="30">
        <v>-1</v>
      </c>
      <c r="I399" s="30">
        <v>-1</v>
      </c>
      <c r="J399" s="30">
        <v>-1</v>
      </c>
      <c r="K399" s="30">
        <v>-1</v>
      </c>
      <c r="L399" s="30">
        <v>-1</v>
      </c>
      <c r="M399" s="30">
        <v>-1</v>
      </c>
      <c r="N399" s="30">
        <v>-1</v>
      </c>
      <c r="O399" s="30">
        <v>-1</v>
      </c>
      <c r="P399" s="30">
        <v>-1</v>
      </c>
      <c r="Q399" s="30">
        <v>-1</v>
      </c>
      <c r="R399" s="30">
        <v>-1</v>
      </c>
      <c r="S399" s="30">
        <v>-1</v>
      </c>
      <c r="T399" s="30">
        <v>-1</v>
      </c>
      <c r="U399" s="30">
        <v>-1</v>
      </c>
      <c r="V399" s="30">
        <v>-1</v>
      </c>
      <c r="W399" s="30">
        <v>-1</v>
      </c>
      <c r="X399" s="30">
        <v>-1</v>
      </c>
      <c r="Y399" s="30">
        <v>-1</v>
      </c>
      <c r="Z399" s="30">
        <v>-1</v>
      </c>
      <c r="AA399" s="30">
        <v>-1</v>
      </c>
      <c r="AB399" s="30">
        <v>-1</v>
      </c>
      <c r="AC399" s="30">
        <v>-1</v>
      </c>
      <c r="AD399" s="30">
        <v>-1</v>
      </c>
      <c r="AE399" s="30">
        <v>-1</v>
      </c>
      <c r="AF399" s="30">
        <v>-1</v>
      </c>
      <c r="AG399" s="30"/>
    </row>
    <row r="400" spans="1:33" x14ac:dyDescent="0.2">
      <c r="A400" s="44" t="s">
        <v>479</v>
      </c>
      <c r="B400" s="64"/>
      <c r="C400" s="28">
        <f>C399*C279</f>
        <v>-7.8200611566945312E-17</v>
      </c>
      <c r="D400" s="28">
        <f t="shared" ref="D400:AF400" si="257">D399*D279</f>
        <v>-7.8200611566945312E-17</v>
      </c>
      <c r="E400" s="28">
        <f t="shared" si="257"/>
        <v>-7.8200611566945312E-17</v>
      </c>
      <c r="F400" s="28">
        <f t="shared" si="257"/>
        <v>-7.8200611566945312E-17</v>
      </c>
      <c r="G400" s="28">
        <f t="shared" si="257"/>
        <v>-7.8200611566945312E-17</v>
      </c>
      <c r="H400" s="28">
        <f t="shared" si="257"/>
        <v>-7.8200611566945312E-17</v>
      </c>
      <c r="I400" s="28">
        <f t="shared" si="257"/>
        <v>-7.8200611566945312E-17</v>
      </c>
      <c r="J400" s="28">
        <f t="shared" si="257"/>
        <v>-7.8200611566945312E-17</v>
      </c>
      <c r="K400" s="28">
        <f t="shared" si="257"/>
        <v>-7.8200611566945312E-17</v>
      </c>
      <c r="L400" s="28">
        <f t="shared" si="257"/>
        <v>-7.8200611566945312E-17</v>
      </c>
      <c r="M400" s="28">
        <f t="shared" si="257"/>
        <v>-7.8200611566945312E-17</v>
      </c>
      <c r="N400" s="28">
        <f t="shared" si="257"/>
        <v>-7.8200611566945312E-17</v>
      </c>
      <c r="O400" s="28">
        <f t="shared" si="257"/>
        <v>-7.8200611566945312E-17</v>
      </c>
      <c r="P400" s="28">
        <f t="shared" si="257"/>
        <v>-7.8200611566945312E-17</v>
      </c>
      <c r="Q400" s="28">
        <f t="shared" si="257"/>
        <v>-7.8200611566945312E-17</v>
      </c>
      <c r="R400" s="28">
        <f t="shared" si="257"/>
        <v>-7.8200611566945312E-17</v>
      </c>
      <c r="S400" s="28">
        <f t="shared" si="257"/>
        <v>-7.8200611566945312E-17</v>
      </c>
      <c r="T400" s="28">
        <f t="shared" si="257"/>
        <v>-7.8200611566945312E-17</v>
      </c>
      <c r="U400" s="28">
        <f t="shared" si="257"/>
        <v>-7.8200611566945312E-17</v>
      </c>
      <c r="V400" s="28">
        <f t="shared" si="257"/>
        <v>-7.8200611566945312E-17</v>
      </c>
      <c r="W400" s="28">
        <f t="shared" si="257"/>
        <v>-7.8200611566945312E-17</v>
      </c>
      <c r="X400" s="28">
        <f t="shared" si="257"/>
        <v>-7.8200611566945312E-17</v>
      </c>
      <c r="Y400" s="28">
        <f t="shared" si="257"/>
        <v>-7.8200611566945312E-17</v>
      </c>
      <c r="Z400" s="28">
        <f t="shared" si="257"/>
        <v>-7.8200611566945312E-17</v>
      </c>
      <c r="AA400" s="28">
        <f t="shared" si="257"/>
        <v>-7.8200611566945312E-17</v>
      </c>
      <c r="AB400" s="28">
        <f t="shared" si="257"/>
        <v>-7.8200611566945312E-17</v>
      </c>
      <c r="AC400" s="28">
        <f t="shared" si="257"/>
        <v>-7.8200611566945312E-17</v>
      </c>
      <c r="AD400" s="28">
        <f t="shared" si="257"/>
        <v>-7.8200611566945312E-17</v>
      </c>
      <c r="AE400" s="28">
        <f t="shared" si="257"/>
        <v>-7.8200611566945312E-17</v>
      </c>
      <c r="AF400" s="28">
        <f t="shared" si="257"/>
        <v>-7.8200611566945312E-17</v>
      </c>
      <c r="AG400" s="28"/>
    </row>
    <row r="401" spans="1:33" x14ac:dyDescent="0.2">
      <c r="A401" s="6" t="s">
        <v>411</v>
      </c>
      <c r="B401" s="64"/>
      <c r="C401" s="30">
        <f>((C173*C30*(1+5*C224))-(C170*C173)-C219)</f>
        <v>1.315801216273517E-12</v>
      </c>
      <c r="D401" s="30">
        <f t="shared" ref="D401:AF401" si="258">((D173*D30*(1+5*D224))-(D170*D173)-D219)</f>
        <v>7.4948261858976695E-14</v>
      </c>
      <c r="E401" s="30">
        <f t="shared" si="258"/>
        <v>1.500521214238312E-13</v>
      </c>
      <c r="F401" s="30">
        <f t="shared" si="258"/>
        <v>2.4975557007709381E-13</v>
      </c>
      <c r="G401" s="30">
        <f t="shared" si="258"/>
        <v>3.2254585942120545E-13</v>
      </c>
      <c r="H401" s="30">
        <f t="shared" si="258"/>
        <v>1.418865213793748E-13</v>
      </c>
      <c r="I401" s="30">
        <f t="shared" si="258"/>
        <v>2.4059853140324583E-13</v>
      </c>
      <c r="J401" s="30">
        <f t="shared" si="258"/>
        <v>1.9537133222657147E-13</v>
      </c>
      <c r="K401" s="30">
        <f t="shared" si="258"/>
        <v>1.0530501658426075E-11</v>
      </c>
      <c r="L401" s="30">
        <f t="shared" si="258"/>
        <v>7.4761013657074873E-12</v>
      </c>
      <c r="M401" s="30">
        <f t="shared" si="258"/>
        <v>6.8970546976728577E-12</v>
      </c>
      <c r="N401" s="30">
        <f t="shared" si="258"/>
        <v>1.0784765612688988E-11</v>
      </c>
      <c r="O401" s="30">
        <f t="shared" si="258"/>
        <v>2.8101123053433308E-12</v>
      </c>
      <c r="P401" s="30">
        <f t="shared" si="258"/>
        <v>5.8222280782141985E-12</v>
      </c>
      <c r="Q401" s="30">
        <f t="shared" si="258"/>
        <v>1.1280846664766708E-12</v>
      </c>
      <c r="R401" s="30">
        <f t="shared" si="258"/>
        <v>1.7452387104360016E-12</v>
      </c>
      <c r="S401" s="30">
        <f t="shared" si="258"/>
        <v>1.6832951073603211E-12</v>
      </c>
      <c r="T401" s="30">
        <f t="shared" si="258"/>
        <v>1.5007287852458205E-12</v>
      </c>
      <c r="U401" s="30">
        <f t="shared" si="258"/>
        <v>8.4577699906162281E-13</v>
      </c>
      <c r="V401" s="30">
        <f t="shared" si="258"/>
        <v>4.3870140763227519E-13</v>
      </c>
      <c r="W401" s="30">
        <f t="shared" si="258"/>
        <v>3.7876305774195942E-13</v>
      </c>
      <c r="X401" s="30">
        <f t="shared" si="258"/>
        <v>1.5921356391444153E-12</v>
      </c>
      <c r="Y401" s="30">
        <f t="shared" si="258"/>
        <v>1.0499929362228022E-12</v>
      </c>
      <c r="Z401" s="30">
        <f t="shared" si="258"/>
        <v>9.3366906607135256E-13</v>
      </c>
      <c r="AA401" s="30">
        <f t="shared" si="258"/>
        <v>1.0920608076374969E-11</v>
      </c>
      <c r="AB401" s="30">
        <f t="shared" si="258"/>
        <v>1.3407703844148508E-11</v>
      </c>
      <c r="AC401" s="30">
        <f t="shared" si="258"/>
        <v>6.2643775001312089E-12</v>
      </c>
      <c r="AD401" s="30">
        <f t="shared" si="258"/>
        <v>1.5353289629414991E-11</v>
      </c>
      <c r="AE401" s="30">
        <f t="shared" si="258"/>
        <v>1.3842728571451883E-11</v>
      </c>
      <c r="AF401" s="30">
        <f t="shared" si="258"/>
        <v>1.4085404650977078E-11</v>
      </c>
      <c r="AG401" s="30"/>
    </row>
    <row r="402" spans="1:33" x14ac:dyDescent="0.2">
      <c r="A402" s="31" t="s">
        <v>410</v>
      </c>
      <c r="B402" s="64"/>
      <c r="C402" s="30">
        <f>SQRT(C394*C394+C396*C396+C398*C398+C400*C400)</f>
        <v>3.7004102871847762E-16</v>
      </c>
      <c r="D402" s="30">
        <f t="shared" ref="D402:AF402" si="259">SQRT(D394*D394+D396*D396+D398*D398+D400*D400)</f>
        <v>1.1242024567054337E-16</v>
      </c>
      <c r="E402" s="30">
        <f t="shared" si="259"/>
        <v>1.3215931486696185E-16</v>
      </c>
      <c r="F402" s="30">
        <f t="shared" si="259"/>
        <v>1.4197407462503111E-16</v>
      </c>
      <c r="G402" s="30">
        <f t="shared" si="259"/>
        <v>2.0689700178929501E-16</v>
      </c>
      <c r="H402" s="30">
        <f t="shared" si="259"/>
        <v>3.0043485822070697E-16</v>
      </c>
      <c r="I402" s="30">
        <f t="shared" si="259"/>
        <v>1.2219344828196642E-16</v>
      </c>
      <c r="J402" s="30">
        <f t="shared" si="259"/>
        <v>3.1764254361598304E-16</v>
      </c>
      <c r="K402" s="30">
        <f t="shared" si="259"/>
        <v>1.6464497331665902E-15</v>
      </c>
      <c r="L402" s="30">
        <f t="shared" si="259"/>
        <v>1.0910180057931879E-15</v>
      </c>
      <c r="M402" s="30">
        <f t="shared" si="259"/>
        <v>9.7761457819976763E-16</v>
      </c>
      <c r="N402" s="30">
        <f t="shared" si="259"/>
        <v>1.617866838208361E-15</v>
      </c>
      <c r="O402" s="30">
        <f t="shared" si="259"/>
        <v>4.3537756121839674E-16</v>
      </c>
      <c r="P402" s="30">
        <f t="shared" si="259"/>
        <v>2.0653117783523012E-15</v>
      </c>
      <c r="Q402" s="30">
        <f t="shared" si="259"/>
        <v>2.0237569494732816E-16</v>
      </c>
      <c r="R402" s="30">
        <f t="shared" si="259"/>
        <v>3.0533310967628413E-16</v>
      </c>
      <c r="S402" s="30">
        <f t="shared" si="259"/>
        <v>2.759245285917995E-16</v>
      </c>
      <c r="T402" s="30">
        <f t="shared" si="259"/>
        <v>2.4853774881829228E-16</v>
      </c>
      <c r="U402" s="30">
        <f t="shared" si="259"/>
        <v>1.9353941798038039E-16</v>
      </c>
      <c r="V402" s="30">
        <f t="shared" si="259"/>
        <v>1.2116520789140298E-16</v>
      </c>
      <c r="W402" s="30">
        <f t="shared" si="259"/>
        <v>1.0841363654620401E-16</v>
      </c>
      <c r="X402" s="30">
        <f t="shared" si="259"/>
        <v>2.5498374227396213E-16</v>
      </c>
      <c r="Y402" s="30">
        <f t="shared" si="259"/>
        <v>1.7635310213396573E-16</v>
      </c>
      <c r="Z402" s="30">
        <f t="shared" si="259"/>
        <v>1.970091875511114E-16</v>
      </c>
      <c r="AA402" s="30">
        <f t="shared" si="259"/>
        <v>2.8296928230649273E-15</v>
      </c>
      <c r="AB402" s="30">
        <f t="shared" si="259"/>
        <v>3.5294313756213498E-15</v>
      </c>
      <c r="AC402" s="30">
        <f t="shared" si="259"/>
        <v>1.649007248183396E-15</v>
      </c>
      <c r="AD402" s="30">
        <f t="shared" si="259"/>
        <v>3.9534819965833726E-15</v>
      </c>
      <c r="AE402" s="30">
        <f t="shared" si="259"/>
        <v>3.8491668509861842E-15</v>
      </c>
      <c r="AF402" s="30">
        <f t="shared" si="259"/>
        <v>3.6885481315051938E-15</v>
      </c>
      <c r="AG402" s="30"/>
    </row>
    <row r="403" spans="1:33" x14ac:dyDescent="0.2">
      <c r="A403" s="42" t="s">
        <v>315</v>
      </c>
      <c r="B403" s="44"/>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81"/>
      <c r="AF403" s="81"/>
      <c r="AG403" s="40"/>
    </row>
    <row r="404" spans="1:33" x14ac:dyDescent="0.2">
      <c r="A404" s="198" t="s">
        <v>316</v>
      </c>
      <c r="B404" s="212"/>
      <c r="C404" s="79">
        <f>1/C245</f>
        <v>7.2526834928923704E-3</v>
      </c>
      <c r="D404" s="79">
        <f t="shared" ref="D404:AF404" si="260">1/D245</f>
        <v>7.2526834928923704E-3</v>
      </c>
      <c r="E404" s="79">
        <f t="shared" si="260"/>
        <v>7.2526834928923704E-3</v>
      </c>
      <c r="F404" s="79">
        <f t="shared" si="260"/>
        <v>7.2526834928923704E-3</v>
      </c>
      <c r="G404" s="79">
        <f t="shared" si="260"/>
        <v>7.2526834928923704E-3</v>
      </c>
      <c r="H404" s="79">
        <f t="shared" si="260"/>
        <v>7.2526834928923704E-3</v>
      </c>
      <c r="I404" s="79">
        <f t="shared" si="260"/>
        <v>7.2526834928923704E-3</v>
      </c>
      <c r="J404" s="79">
        <f t="shared" si="260"/>
        <v>7.2526834928923704E-3</v>
      </c>
      <c r="K404" s="79">
        <f t="shared" si="260"/>
        <v>7.2526834928923704E-3</v>
      </c>
      <c r="L404" s="79">
        <f t="shared" si="260"/>
        <v>7.2526834928923704E-3</v>
      </c>
      <c r="M404" s="79">
        <f t="shared" si="260"/>
        <v>7.2526834928923704E-3</v>
      </c>
      <c r="N404" s="79">
        <f t="shared" si="260"/>
        <v>7.2526834928923704E-3</v>
      </c>
      <c r="O404" s="79">
        <f t="shared" si="260"/>
        <v>7.2526834928923704E-3</v>
      </c>
      <c r="P404" s="79">
        <f t="shared" si="260"/>
        <v>7.2526834928923704E-3</v>
      </c>
      <c r="Q404" s="79">
        <f t="shared" si="260"/>
        <v>7.2526834928923704E-3</v>
      </c>
      <c r="R404" s="79">
        <f t="shared" si="260"/>
        <v>7.2526834928923704E-3</v>
      </c>
      <c r="S404" s="79">
        <f t="shared" si="260"/>
        <v>7.2526834928923704E-3</v>
      </c>
      <c r="T404" s="79">
        <f t="shared" si="260"/>
        <v>7.2526834928923704E-3</v>
      </c>
      <c r="U404" s="79">
        <f t="shared" si="260"/>
        <v>7.2526834928923704E-3</v>
      </c>
      <c r="V404" s="79">
        <f t="shared" si="260"/>
        <v>7.2526834928923704E-3</v>
      </c>
      <c r="W404" s="79">
        <f t="shared" si="260"/>
        <v>7.2526834928923704E-3</v>
      </c>
      <c r="X404" s="79">
        <f t="shared" si="260"/>
        <v>7.2526834928923704E-3</v>
      </c>
      <c r="Y404" s="79">
        <f t="shared" si="260"/>
        <v>7.2526834928923704E-3</v>
      </c>
      <c r="Z404" s="79">
        <f t="shared" si="260"/>
        <v>7.2526834928923704E-3</v>
      </c>
      <c r="AA404" s="79">
        <f t="shared" si="260"/>
        <v>7.2526834928923704E-3</v>
      </c>
      <c r="AB404" s="79">
        <f t="shared" si="260"/>
        <v>7.2526834928923704E-3</v>
      </c>
      <c r="AC404" s="79">
        <f t="shared" si="260"/>
        <v>7.2526834928923704E-3</v>
      </c>
      <c r="AD404" s="79">
        <f t="shared" si="260"/>
        <v>7.2526834928923704E-3</v>
      </c>
      <c r="AE404" s="79">
        <f t="shared" si="260"/>
        <v>7.2526834928923704E-3</v>
      </c>
      <c r="AF404" s="79">
        <f t="shared" si="260"/>
        <v>7.2526834928923704E-3</v>
      </c>
      <c r="AG404" s="30"/>
    </row>
    <row r="405" spans="1:33" x14ac:dyDescent="0.2">
      <c r="A405" s="44" t="s">
        <v>479</v>
      </c>
      <c r="B405" s="64"/>
      <c r="C405" s="28">
        <f t="shared" ref="C405:AF405" si="261">C404*C128</f>
        <v>1.7977378824809693E-18</v>
      </c>
      <c r="D405" s="28">
        <f t="shared" si="261"/>
        <v>7.9722799075320126E-19</v>
      </c>
      <c r="E405" s="28">
        <f t="shared" si="261"/>
        <v>9.2915348240678577E-19</v>
      </c>
      <c r="F405" s="28">
        <f t="shared" si="261"/>
        <v>9.464508048728386E-19</v>
      </c>
      <c r="G405" s="28">
        <f t="shared" si="261"/>
        <v>1.4018852458942343E-18</v>
      </c>
      <c r="H405" s="28">
        <f t="shared" si="261"/>
        <v>2.1540998565054109E-18</v>
      </c>
      <c r="I405" s="28">
        <f t="shared" si="261"/>
        <v>8.103181808535007E-19</v>
      </c>
      <c r="J405" s="28">
        <f t="shared" si="261"/>
        <v>2.3007105842252251E-18</v>
      </c>
      <c r="K405" s="28">
        <f t="shared" si="261"/>
        <v>7.3079298323482084E-18</v>
      </c>
      <c r="L405" s="28">
        <f t="shared" si="261"/>
        <v>4.8653846806995113E-18</v>
      </c>
      <c r="M405" s="28">
        <f t="shared" si="261"/>
        <v>4.3227530727967226E-18</v>
      </c>
      <c r="N405" s="28">
        <f t="shared" si="261"/>
        <v>7.163601926810348E-18</v>
      </c>
      <c r="O405" s="28">
        <f t="shared" si="261"/>
        <v>1.9928713903305583E-18</v>
      </c>
      <c r="P405" s="28">
        <f t="shared" si="261"/>
        <v>1.0049174774379202E-17</v>
      </c>
      <c r="Q405" s="28">
        <f t="shared" si="261"/>
        <v>1.0938717721208615E-18</v>
      </c>
      <c r="R405" s="28">
        <f t="shared" si="261"/>
        <v>1.5049421036894436E-18</v>
      </c>
      <c r="S405" s="28">
        <f t="shared" si="261"/>
        <v>1.361581878252401E-18</v>
      </c>
      <c r="T405" s="28">
        <f t="shared" si="261"/>
        <v>1.2634778063634957E-18</v>
      </c>
      <c r="U405" s="28">
        <f t="shared" si="261"/>
        <v>1.1527154674669697E-18</v>
      </c>
      <c r="V405" s="28">
        <f t="shared" si="261"/>
        <v>7.4704093061004918E-19</v>
      </c>
      <c r="W405" s="28">
        <f t="shared" si="261"/>
        <v>6.9501728974762445E-19</v>
      </c>
      <c r="X405" s="28">
        <f t="shared" si="261"/>
        <v>1.2458711354460378E-18</v>
      </c>
      <c r="Y405" s="28">
        <f t="shared" si="261"/>
        <v>9.2694640491761603E-19</v>
      </c>
      <c r="Z405" s="28">
        <f t="shared" si="261"/>
        <v>1.0835756495902519E-18</v>
      </c>
      <c r="AA405" s="28">
        <f t="shared" si="261"/>
        <v>1.2531524533840709E-17</v>
      </c>
      <c r="AB405" s="28">
        <f t="shared" si="261"/>
        <v>1.5806232335299114E-17</v>
      </c>
      <c r="AC405" s="28">
        <f t="shared" si="261"/>
        <v>7.3417404307523147E-18</v>
      </c>
      <c r="AD405" s="28">
        <f t="shared" si="261"/>
        <v>1.7618452640984631E-17</v>
      </c>
      <c r="AE405" s="28">
        <f t="shared" si="261"/>
        <v>1.7393917981360423E-17</v>
      </c>
      <c r="AF405" s="28">
        <f t="shared" si="261"/>
        <v>1.6442135568447174E-17</v>
      </c>
      <c r="AG405" s="28"/>
    </row>
    <row r="406" spans="1:33" x14ac:dyDescent="0.2">
      <c r="A406" s="41" t="s">
        <v>358</v>
      </c>
      <c r="B406" s="44"/>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81"/>
      <c r="AF406" s="81"/>
      <c r="AG406" s="40"/>
    </row>
    <row r="407" spans="1:33" x14ac:dyDescent="0.2">
      <c r="A407" s="198" t="s">
        <v>359</v>
      </c>
      <c r="B407" s="212"/>
      <c r="C407" s="79">
        <f>C285*C313</f>
        <v>1.7518749962246862E-28</v>
      </c>
      <c r="D407" s="79">
        <f t="shared" ref="D407:AF407" si="262">D285*D313</f>
        <v>3.6354092337674907E-28</v>
      </c>
      <c r="E407" s="79">
        <f t="shared" si="262"/>
        <v>2.9828308365639186E-28</v>
      </c>
      <c r="F407" s="79">
        <f t="shared" si="262"/>
        <v>4.3298918892019161E-28</v>
      </c>
      <c r="G407" s="79">
        <f t="shared" si="262"/>
        <v>7.1642868806472744E-28</v>
      </c>
      <c r="H407" s="79">
        <f t="shared" si="262"/>
        <v>4.6294169606308734E-28</v>
      </c>
      <c r="I407" s="79">
        <f t="shared" si="262"/>
        <v>2.2999477219344939E-28</v>
      </c>
      <c r="J407" s="79">
        <f t="shared" si="262"/>
        <v>2.9982175984576565E-28</v>
      </c>
      <c r="K407" s="79">
        <f t="shared" si="262"/>
        <v>8.1313118137844809E-30</v>
      </c>
      <c r="L407" s="79">
        <f t="shared" si="262"/>
        <v>6.3150862890627904E-30</v>
      </c>
      <c r="M407" s="79">
        <f t="shared" si="262"/>
        <v>4.4851614875169425E-30</v>
      </c>
      <c r="N407" s="79">
        <f t="shared" si="262"/>
        <v>7.6099515265203999E-30</v>
      </c>
      <c r="O407" s="79">
        <f t="shared" si="262"/>
        <v>3.9094339838963155E-30</v>
      </c>
      <c r="P407" s="79">
        <f t="shared" si="262"/>
        <v>4.3914418681003502E-30</v>
      </c>
      <c r="Q407" s="79">
        <f t="shared" si="262"/>
        <v>2.7958439806128193E-29</v>
      </c>
      <c r="R407" s="79">
        <f t="shared" si="262"/>
        <v>1.3016734694275681E-29</v>
      </c>
      <c r="S407" s="79">
        <f t="shared" si="262"/>
        <v>1.5217270857480002E-29</v>
      </c>
      <c r="T407" s="79">
        <f t="shared" si="262"/>
        <v>4.1855583741828367E-29</v>
      </c>
      <c r="U407" s="79">
        <f t="shared" si="262"/>
        <v>5.8270868897719721E-29</v>
      </c>
      <c r="V407" s="79">
        <f t="shared" si="262"/>
        <v>6.5689756407662501E-29</v>
      </c>
      <c r="W407" s="79">
        <f t="shared" si="262"/>
        <v>2.0132526759708282E-28</v>
      </c>
      <c r="X407" s="79">
        <f t="shared" si="262"/>
        <v>1.1418054807602578E-29</v>
      </c>
      <c r="Y407" s="79">
        <f t="shared" si="262"/>
        <v>1.3374355662003538E-29</v>
      </c>
      <c r="Z407" s="79">
        <f t="shared" si="262"/>
        <v>6.5086557076547085E-29</v>
      </c>
      <c r="AA407" s="79">
        <f t="shared" si="262"/>
        <v>3.9599170501704111E-31</v>
      </c>
      <c r="AB407" s="79">
        <f t="shared" si="262"/>
        <v>3.3351860339666689E-31</v>
      </c>
      <c r="AC407" s="79">
        <f t="shared" si="262"/>
        <v>5.080383525932114E-31</v>
      </c>
      <c r="AD407" s="79">
        <f t="shared" si="262"/>
        <v>5.850706124882722E-31</v>
      </c>
      <c r="AE407" s="79">
        <f t="shared" si="262"/>
        <v>2.5221507468292693E-31</v>
      </c>
      <c r="AF407" s="79">
        <f t="shared" si="262"/>
        <v>1.18585489218599E-30</v>
      </c>
      <c r="AG407" s="30"/>
    </row>
    <row r="408" spans="1:33" x14ac:dyDescent="0.2">
      <c r="A408" s="44" t="s">
        <v>480</v>
      </c>
      <c r="B408" s="64"/>
      <c r="C408" s="28">
        <f t="shared" ref="C408:AF408" si="263">C407*(C248^2)</f>
        <v>1.3066071989953917E-37</v>
      </c>
      <c r="D408" s="28">
        <f t="shared" si="263"/>
        <v>7.0606872337515653E-37</v>
      </c>
      <c r="E408" s="28">
        <f t="shared" si="263"/>
        <v>3.1413020321528123E-37</v>
      </c>
      <c r="F408" s="28">
        <f t="shared" si="263"/>
        <v>1.3665119495312866E-36</v>
      </c>
      <c r="G408" s="28">
        <f t="shared" si="263"/>
        <v>2.6929142595280686E-36</v>
      </c>
      <c r="H408" s="28">
        <f t="shared" si="263"/>
        <v>5.5949144943730067E-37</v>
      </c>
      <c r="I408" s="28">
        <f t="shared" si="263"/>
        <v>6.4875390173974555E-37</v>
      </c>
      <c r="J408" s="28">
        <f t="shared" si="263"/>
        <v>2.104774421705981E-37</v>
      </c>
      <c r="K408" s="28">
        <f t="shared" si="263"/>
        <v>9.8277497653895612E-39</v>
      </c>
      <c r="L408" s="28">
        <f t="shared" si="263"/>
        <v>1.0841550658588305E-38</v>
      </c>
      <c r="M408" s="28">
        <f t="shared" si="263"/>
        <v>3.348283015737012E-38</v>
      </c>
      <c r="N408" s="28">
        <f t="shared" si="263"/>
        <v>1.9847822176626871E-38</v>
      </c>
      <c r="O408" s="28">
        <f t="shared" si="263"/>
        <v>4.4972891113039921E-39</v>
      </c>
      <c r="P408" s="28">
        <f t="shared" si="263"/>
        <v>1.3340268595394105E-38</v>
      </c>
      <c r="Q408" s="28">
        <f t="shared" si="263"/>
        <v>2.7403641783831653E-38</v>
      </c>
      <c r="R408" s="28">
        <f t="shared" si="263"/>
        <v>1.2855893123177367E-38</v>
      </c>
      <c r="S408" s="28">
        <f t="shared" si="263"/>
        <v>2.8851435610389939E-38</v>
      </c>
      <c r="T408" s="28">
        <f t="shared" si="263"/>
        <v>2.0531286631208098E-38</v>
      </c>
      <c r="U408" s="28">
        <f t="shared" si="263"/>
        <v>2.0420416323948136E-38</v>
      </c>
      <c r="V408" s="28">
        <f t="shared" si="263"/>
        <v>1.4803384776696351E-38</v>
      </c>
      <c r="W408" s="28">
        <f t="shared" si="263"/>
        <v>6.9008718801381268E-39</v>
      </c>
      <c r="X408" s="28">
        <f t="shared" si="263"/>
        <v>1.0434736364816052E-38</v>
      </c>
      <c r="Y408" s="28">
        <f t="shared" si="263"/>
        <v>2.2934069716907799E-38</v>
      </c>
      <c r="Z408" s="28">
        <f t="shared" si="263"/>
        <v>2.4292424245922426E-38</v>
      </c>
      <c r="AA408" s="28">
        <f t="shared" si="263"/>
        <v>1.3955127799239833E-35</v>
      </c>
      <c r="AB408" s="28">
        <f t="shared" si="263"/>
        <v>4.1951458881786171E-35</v>
      </c>
      <c r="AC408" s="28">
        <f t="shared" si="263"/>
        <v>2.1765921447124646E-36</v>
      </c>
      <c r="AD408" s="28">
        <f t="shared" si="263"/>
        <v>2.345643624430961E-35</v>
      </c>
      <c r="AE408" s="28">
        <f t="shared" si="263"/>
        <v>4.1567050443966301E-35</v>
      </c>
      <c r="AF408" s="28">
        <f t="shared" si="263"/>
        <v>3.3614233564680479E-35</v>
      </c>
      <c r="AG408" s="28"/>
    </row>
    <row r="409" spans="1:33" x14ac:dyDescent="0.2">
      <c r="A409" s="198" t="s">
        <v>360</v>
      </c>
      <c r="B409" s="212"/>
      <c r="C409" s="79">
        <f>C287*C317</f>
        <v>6.8921540078193948E-28</v>
      </c>
      <c r="D409" s="79">
        <f t="shared" ref="D409:AF409" si="264">D287*D317</f>
        <v>5.2621781000411996E-28</v>
      </c>
      <c r="E409" s="79">
        <f t="shared" si="264"/>
        <v>4.5839418115914448E-28</v>
      </c>
      <c r="F409" s="79">
        <f t="shared" si="264"/>
        <v>5.9871893049357641E-28</v>
      </c>
      <c r="G409" s="79">
        <f t="shared" si="264"/>
        <v>1.0643892097663583E-27</v>
      </c>
      <c r="H409" s="79">
        <f t="shared" si="264"/>
        <v>6.7589754262751418E-28</v>
      </c>
      <c r="I409" s="79">
        <f t="shared" si="264"/>
        <v>3.8517844389067004E-28</v>
      </c>
      <c r="J409" s="79">
        <f t="shared" si="264"/>
        <v>4.8048233614697179E-28</v>
      </c>
      <c r="K409" s="79">
        <f t="shared" si="264"/>
        <v>3.2396198339601523E-27</v>
      </c>
      <c r="L409" s="79">
        <f t="shared" si="264"/>
        <v>1.7135179287061957E-27</v>
      </c>
      <c r="M409" s="79">
        <f t="shared" si="264"/>
        <v>1.1899430060459696E-27</v>
      </c>
      <c r="N409" s="79">
        <f t="shared" si="264"/>
        <v>2.5451765327755128E-27</v>
      </c>
      <c r="O409" s="79">
        <f t="shared" si="264"/>
        <v>5.2227342249736392E-28</v>
      </c>
      <c r="P409" s="79">
        <f t="shared" si="264"/>
        <v>1.1603803594895152E-27</v>
      </c>
      <c r="Q409" s="79">
        <f t="shared" si="264"/>
        <v>1.6780055671195116E-27</v>
      </c>
      <c r="R409" s="79">
        <f t="shared" si="264"/>
        <v>4.4155124339623992E-28</v>
      </c>
      <c r="S409" s="79">
        <f t="shared" si="264"/>
        <v>4.7550463199488264E-28</v>
      </c>
      <c r="T409" s="79">
        <f t="shared" si="264"/>
        <v>9.8103286224134335E-28</v>
      </c>
      <c r="U409" s="79">
        <f t="shared" si="264"/>
        <v>8.1488132636742882E-28</v>
      </c>
      <c r="V409" s="79">
        <f t="shared" si="264"/>
        <v>7.9240292558221617E-28</v>
      </c>
      <c r="W409" s="79">
        <f t="shared" si="264"/>
        <v>1.7001844957542647E-27</v>
      </c>
      <c r="X409" s="79">
        <f t="shared" si="264"/>
        <v>3.9297903470651466E-28</v>
      </c>
      <c r="Y409" s="79">
        <f t="shared" si="264"/>
        <v>2.6423910293666047E-28</v>
      </c>
      <c r="Z409" s="79">
        <f t="shared" si="264"/>
        <v>1.1091440275556667E-27</v>
      </c>
      <c r="AA409" s="79">
        <f t="shared" si="264"/>
        <v>1.0979112332184724E-27</v>
      </c>
      <c r="AB409" s="79">
        <f t="shared" si="264"/>
        <v>1.2193311204897935E-27</v>
      </c>
      <c r="AC409" s="79">
        <f t="shared" si="264"/>
        <v>1.2193311204897935E-27</v>
      </c>
      <c r="AD409" s="79">
        <f t="shared" si="264"/>
        <v>1.1839900725092699E-27</v>
      </c>
      <c r="AE409" s="79">
        <f t="shared" si="264"/>
        <v>5.2621781000411996E-28</v>
      </c>
      <c r="AF409" s="79">
        <f t="shared" si="264"/>
        <v>1.5809921758346001E-27</v>
      </c>
      <c r="AG409" s="30"/>
    </row>
    <row r="410" spans="1:33" x14ac:dyDescent="0.2">
      <c r="A410" s="44" t="s">
        <v>480</v>
      </c>
      <c r="B410" s="64"/>
      <c r="C410" s="28">
        <f t="shared" ref="C410:AF410" si="265">C409*(C260^2)</f>
        <v>6.8311522383352965E-40</v>
      </c>
      <c r="D410" s="28">
        <f t="shared" si="265"/>
        <v>5.2156030851650382E-40</v>
      </c>
      <c r="E410" s="28">
        <f t="shared" si="265"/>
        <v>4.5433697986326549E-40</v>
      </c>
      <c r="F410" s="28">
        <f t="shared" si="265"/>
        <v>5.9341972880099979E-40</v>
      </c>
      <c r="G410" s="28">
        <f t="shared" si="265"/>
        <v>1.0549684067573333E-39</v>
      </c>
      <c r="H410" s="28">
        <f t="shared" si="265"/>
        <v>6.6991524071675388E-40</v>
      </c>
      <c r="I410" s="28">
        <f t="shared" si="265"/>
        <v>3.8176926780177179E-40</v>
      </c>
      <c r="J410" s="28">
        <f t="shared" si="265"/>
        <v>4.7622963478864966E-40</v>
      </c>
      <c r="K410" s="28">
        <f t="shared" si="265"/>
        <v>3.2371121074068685E-40</v>
      </c>
      <c r="L410" s="28">
        <f t="shared" si="265"/>
        <v>1.7121915278846241E-40</v>
      </c>
      <c r="M410" s="28">
        <f t="shared" si="265"/>
        <v>1.1890218943643225E-40</v>
      </c>
      <c r="N410" s="28">
        <f t="shared" si="265"/>
        <v>2.5432063612426902E-40</v>
      </c>
      <c r="O410" s="28">
        <f t="shared" si="265"/>
        <v>5.2186914082334108E-41</v>
      </c>
      <c r="P410" s="28">
        <f t="shared" si="265"/>
        <v>1.1594821316762092E-40</v>
      </c>
      <c r="Q410" s="28">
        <f t="shared" si="265"/>
        <v>1.6767066557246891E-40</v>
      </c>
      <c r="R410" s="28">
        <f t="shared" si="265"/>
        <v>0</v>
      </c>
      <c r="S410" s="28">
        <f t="shared" si="265"/>
        <v>0</v>
      </c>
      <c r="T410" s="28">
        <f t="shared" si="265"/>
        <v>0</v>
      </c>
      <c r="U410" s="28">
        <f t="shared" si="265"/>
        <v>0</v>
      </c>
      <c r="V410" s="28">
        <f t="shared" si="265"/>
        <v>0</v>
      </c>
      <c r="W410" s="28">
        <f t="shared" si="265"/>
        <v>0</v>
      </c>
      <c r="X410" s="28">
        <f t="shared" si="265"/>
        <v>0</v>
      </c>
      <c r="Y410" s="28">
        <f t="shared" si="265"/>
        <v>0</v>
      </c>
      <c r="Z410" s="28">
        <f t="shared" si="265"/>
        <v>0</v>
      </c>
      <c r="AA410" s="28">
        <f t="shared" si="265"/>
        <v>1.0881937301146807E-39</v>
      </c>
      <c r="AB410" s="28">
        <f t="shared" si="265"/>
        <v>1.2085389420427482E-39</v>
      </c>
      <c r="AC410" s="28">
        <f t="shared" si="265"/>
        <v>1.2085389420427482E-39</v>
      </c>
      <c r="AD410" s="28">
        <f t="shared" si="265"/>
        <v>1.1735106941621335E-39</v>
      </c>
      <c r="AE410" s="28">
        <f t="shared" si="265"/>
        <v>5.2156030851650382E-40</v>
      </c>
      <c r="AF410" s="28">
        <f t="shared" si="265"/>
        <v>1.5669989713651399E-39</v>
      </c>
      <c r="AG410" s="28"/>
    </row>
    <row r="411" spans="1:33" x14ac:dyDescent="0.2">
      <c r="A411" s="198" t="s">
        <v>361</v>
      </c>
      <c r="B411" s="212"/>
      <c r="C411" s="79">
        <f>C289*C321</f>
        <v>-1.0353884084656519E-29</v>
      </c>
      <c r="D411" s="79">
        <f t="shared" ref="D411:AF411" si="266">D289*D321</f>
        <v>-1.965089381147404E-30</v>
      </c>
      <c r="E411" s="79">
        <f t="shared" si="266"/>
        <v>-4.6568536995046891E-30</v>
      </c>
      <c r="F411" s="79">
        <f t="shared" si="266"/>
        <v>-3.7855462430669741E-29</v>
      </c>
      <c r="G411" s="79">
        <f t="shared" si="266"/>
        <v>-3.3409501734275791E-29</v>
      </c>
      <c r="H411" s="79">
        <f t="shared" si="266"/>
        <v>-7.9632938702280235E-30</v>
      </c>
      <c r="I411" s="79">
        <f t="shared" si="266"/>
        <v>-5.9523265313427918E-30</v>
      </c>
      <c r="J411" s="79">
        <f t="shared" si="266"/>
        <v>-5.6263142424173098E-30</v>
      </c>
      <c r="K411" s="79">
        <f t="shared" si="266"/>
        <v>-2.4951175246353603E-30</v>
      </c>
      <c r="L411" s="79">
        <f t="shared" si="266"/>
        <v>-1.8604749099608292E-30</v>
      </c>
      <c r="M411" s="79">
        <f t="shared" si="266"/>
        <v>-1.6253706976713079E-30</v>
      </c>
      <c r="N411" s="79">
        <f t="shared" si="266"/>
        <v>-3.1272631440779994E-30</v>
      </c>
      <c r="O411" s="79">
        <f t="shared" si="266"/>
        <v>-5.4624330956396837E-31</v>
      </c>
      <c r="P411" s="79">
        <f t="shared" si="266"/>
        <v>-1.1581656752562368E-30</v>
      </c>
      <c r="Q411" s="79">
        <f t="shared" si="266"/>
        <v>-2.0405962884412683E-31</v>
      </c>
      <c r="R411" s="79">
        <f t="shared" si="266"/>
        <v>-3.18889612819348E-31</v>
      </c>
      <c r="S411" s="79">
        <f t="shared" si="266"/>
        <v>-3.2659915309953531E-31</v>
      </c>
      <c r="T411" s="79">
        <f t="shared" si="266"/>
        <v>-3.6265406150855539E-31</v>
      </c>
      <c r="U411" s="79">
        <f t="shared" si="266"/>
        <v>-2.3016870510211868E-31</v>
      </c>
      <c r="V411" s="79">
        <f t="shared" si="266"/>
        <v>-7.338843282005993E-32</v>
      </c>
      <c r="W411" s="79">
        <f t="shared" si="266"/>
        <v>-9.6176058101221363E-32</v>
      </c>
      <c r="X411" s="79">
        <f t="shared" si="266"/>
        <v>-2.6280897158344645E-31</v>
      </c>
      <c r="Y411" s="79">
        <f t="shared" si="266"/>
        <v>-2.2520849201205423E-31</v>
      </c>
      <c r="Z411" s="79">
        <f t="shared" si="266"/>
        <v>-2.0966749254292811E-31</v>
      </c>
      <c r="AA411" s="79">
        <f t="shared" si="266"/>
        <v>-7.0144687320639813E-28</v>
      </c>
      <c r="AB411" s="79">
        <f t="shared" si="266"/>
        <v>-8.0592890839790023E-28</v>
      </c>
      <c r="AC411" s="79">
        <f t="shared" si="266"/>
        <v>-2.6779217069244173E-28</v>
      </c>
      <c r="AD411" s="79">
        <f t="shared" si="266"/>
        <v>-1.9098342789441437E-27</v>
      </c>
      <c r="AE411" s="79">
        <f t="shared" si="266"/>
        <v>-1.499333032977079E-27</v>
      </c>
      <c r="AF411" s="79">
        <f t="shared" si="266"/>
        <v>-2.4409012297144375E-27</v>
      </c>
      <c r="AG411" s="30"/>
    </row>
    <row r="412" spans="1:33" x14ac:dyDescent="0.2">
      <c r="A412" s="44" t="s">
        <v>480</v>
      </c>
      <c r="B412" s="64"/>
      <c r="C412" s="28">
        <f t="shared" ref="C412:AF412" si="267">C411*(C280^2)</f>
        <v>-9.3184956761908654E-37</v>
      </c>
      <c r="D412" s="28">
        <f t="shared" si="267"/>
        <v>-1.7685804430326633E-37</v>
      </c>
      <c r="E412" s="28">
        <f t="shared" si="267"/>
        <v>-4.1911683295542198E-37</v>
      </c>
      <c r="F412" s="28">
        <f t="shared" si="267"/>
        <v>-3.4069916187602759E-36</v>
      </c>
      <c r="G412" s="28">
        <f t="shared" si="267"/>
        <v>-3.0068551560848206E-36</v>
      </c>
      <c r="H412" s="28">
        <f t="shared" si="267"/>
        <v>-7.1669644832052203E-37</v>
      </c>
      <c r="I412" s="28">
        <f t="shared" si="267"/>
        <v>-5.3570938782085113E-37</v>
      </c>
      <c r="J412" s="28">
        <f t="shared" si="267"/>
        <v>-5.0636828181755777E-37</v>
      </c>
      <c r="K412" s="28">
        <f t="shared" si="267"/>
        <v>-2.2456057721718238E-37</v>
      </c>
      <c r="L412" s="28">
        <f t="shared" si="267"/>
        <v>-1.6744274189647461E-37</v>
      </c>
      <c r="M412" s="28">
        <f t="shared" si="267"/>
        <v>-1.462833627904177E-37</v>
      </c>
      <c r="N412" s="28">
        <f t="shared" si="267"/>
        <v>-2.8145368296701989E-37</v>
      </c>
      <c r="O412" s="28">
        <f t="shared" si="267"/>
        <v>-4.9161897860757147E-38</v>
      </c>
      <c r="P412" s="28">
        <f t="shared" si="267"/>
        <v>-1.042349107730613E-37</v>
      </c>
      <c r="Q412" s="28">
        <f t="shared" si="267"/>
        <v>-1.8365366595971411E-38</v>
      </c>
      <c r="R412" s="28">
        <f t="shared" si="267"/>
        <v>-3.3886754162508471E-39</v>
      </c>
      <c r="S412" s="28">
        <f t="shared" si="267"/>
        <v>-3.193958410349619E-39</v>
      </c>
      <c r="T412" s="28">
        <f t="shared" si="267"/>
        <v>-3.3138218176072379E-39</v>
      </c>
      <c r="U412" s="28">
        <f t="shared" si="267"/>
        <v>-2.5086289462475262E-39</v>
      </c>
      <c r="V412" s="28">
        <f t="shared" si="267"/>
        <v>-8.9330113547666409E-40</v>
      </c>
      <c r="W412" s="28">
        <f t="shared" si="267"/>
        <v>-8.3729666628943706E-40</v>
      </c>
      <c r="X412" s="28">
        <f t="shared" si="267"/>
        <v>-2.5097418917143106E-39</v>
      </c>
      <c r="Y412" s="28">
        <f t="shared" si="267"/>
        <v>-2.6979276835917255E-39</v>
      </c>
      <c r="Z412" s="28">
        <f t="shared" si="267"/>
        <v>-2.1213906707670474E-39</v>
      </c>
      <c r="AA412" s="28">
        <f t="shared" si="267"/>
        <v>-2.8057874928255926E-35</v>
      </c>
      <c r="AB412" s="28">
        <f t="shared" si="267"/>
        <v>-3.223715633591601E-35</v>
      </c>
      <c r="AC412" s="28">
        <f t="shared" si="267"/>
        <v>-1.071168682769767E-35</v>
      </c>
      <c r="AD412" s="28">
        <f t="shared" si="267"/>
        <v>-7.6393371157765748E-35</v>
      </c>
      <c r="AE412" s="28">
        <f t="shared" si="267"/>
        <v>-5.9973321319083164E-35</v>
      </c>
      <c r="AF412" s="28">
        <f t="shared" si="267"/>
        <v>-9.7636049188577502E-35</v>
      </c>
      <c r="AG412" s="28"/>
    </row>
    <row r="413" spans="1:33" x14ac:dyDescent="0.2">
      <c r="A413" s="198" t="s">
        <v>320</v>
      </c>
      <c r="B413" s="212"/>
      <c r="C413" s="79">
        <f>C291*C323</f>
        <v>5.5425629901276183E-2</v>
      </c>
      <c r="D413" s="79">
        <f t="shared" ref="D413:AF413" si="268">D291*D323</f>
        <v>5.5425629901276183E-2</v>
      </c>
      <c r="E413" s="79">
        <f t="shared" si="268"/>
        <v>5.5425629901276183E-2</v>
      </c>
      <c r="F413" s="79">
        <f t="shared" si="268"/>
        <v>5.5425629901276183E-2</v>
      </c>
      <c r="G413" s="79">
        <f t="shared" si="268"/>
        <v>5.5425629901276183E-2</v>
      </c>
      <c r="H413" s="79">
        <f t="shared" si="268"/>
        <v>5.5425629901276183E-2</v>
      </c>
      <c r="I413" s="79">
        <f t="shared" si="268"/>
        <v>5.5425629901276183E-2</v>
      </c>
      <c r="J413" s="79">
        <f t="shared" si="268"/>
        <v>5.5425629901276183E-2</v>
      </c>
      <c r="K413" s="79">
        <f t="shared" si="268"/>
        <v>5.5425629901276183E-2</v>
      </c>
      <c r="L413" s="79">
        <f t="shared" si="268"/>
        <v>5.5425629901276183E-2</v>
      </c>
      <c r="M413" s="79">
        <f t="shared" si="268"/>
        <v>5.5425629901276183E-2</v>
      </c>
      <c r="N413" s="79">
        <f t="shared" si="268"/>
        <v>5.5425629901276183E-2</v>
      </c>
      <c r="O413" s="79">
        <f t="shared" si="268"/>
        <v>5.5425629901276183E-2</v>
      </c>
      <c r="P413" s="79">
        <f t="shared" si="268"/>
        <v>5.5425629901276183E-2</v>
      </c>
      <c r="Q413" s="79">
        <f t="shared" si="268"/>
        <v>5.5425629901276183E-2</v>
      </c>
      <c r="R413" s="79">
        <f t="shared" si="268"/>
        <v>5.5425629901276183E-2</v>
      </c>
      <c r="S413" s="79">
        <f t="shared" si="268"/>
        <v>5.5425629901276183E-2</v>
      </c>
      <c r="T413" s="79">
        <f t="shared" si="268"/>
        <v>5.5425629901276183E-2</v>
      </c>
      <c r="U413" s="79">
        <f t="shared" si="268"/>
        <v>5.5425629901276183E-2</v>
      </c>
      <c r="V413" s="79">
        <f t="shared" si="268"/>
        <v>5.5425629901276183E-2</v>
      </c>
      <c r="W413" s="79">
        <f t="shared" si="268"/>
        <v>5.5425629901276183E-2</v>
      </c>
      <c r="X413" s="79">
        <f t="shared" si="268"/>
        <v>5.5425629901276183E-2</v>
      </c>
      <c r="Y413" s="79">
        <f t="shared" si="268"/>
        <v>5.5425629901276183E-2</v>
      </c>
      <c r="Z413" s="79">
        <f t="shared" si="268"/>
        <v>5.5425629901276183E-2</v>
      </c>
      <c r="AA413" s="79">
        <f t="shared" si="268"/>
        <v>5.5425629901276183E-2</v>
      </c>
      <c r="AB413" s="79">
        <f t="shared" si="268"/>
        <v>5.5425629901276183E-2</v>
      </c>
      <c r="AC413" s="79">
        <f t="shared" si="268"/>
        <v>5.5425629901276183E-2</v>
      </c>
      <c r="AD413" s="79">
        <f t="shared" si="268"/>
        <v>5.5425629901276183E-2</v>
      </c>
      <c r="AE413" s="79">
        <f t="shared" si="268"/>
        <v>5.5425629901276183E-2</v>
      </c>
      <c r="AF413" s="79">
        <f t="shared" si="268"/>
        <v>5.5425629901276183E-2</v>
      </c>
      <c r="AG413" s="30"/>
    </row>
    <row r="414" spans="1:33" x14ac:dyDescent="0.2">
      <c r="A414" s="44" t="s">
        <v>480</v>
      </c>
      <c r="B414" s="64"/>
      <c r="C414" s="28">
        <f t="shared" ref="C414:AF414" si="269">C413*(C278^2)</f>
        <v>1.257304944901127E-33</v>
      </c>
      <c r="D414" s="28">
        <f t="shared" si="269"/>
        <v>1.257304944901127E-33</v>
      </c>
      <c r="E414" s="28">
        <f t="shared" si="269"/>
        <v>1.257304944901127E-33</v>
      </c>
      <c r="F414" s="28">
        <f t="shared" si="269"/>
        <v>1.257304944901127E-33</v>
      </c>
      <c r="G414" s="28">
        <f t="shared" si="269"/>
        <v>1.257304944901127E-33</v>
      </c>
      <c r="H414" s="28">
        <f t="shared" si="269"/>
        <v>1.257304944901127E-33</v>
      </c>
      <c r="I414" s="28">
        <f t="shared" si="269"/>
        <v>1.257304944901127E-33</v>
      </c>
      <c r="J414" s="28">
        <f t="shared" si="269"/>
        <v>1.257304944901127E-33</v>
      </c>
      <c r="K414" s="28">
        <f t="shared" si="269"/>
        <v>5.6507658114794726E-34</v>
      </c>
      <c r="L414" s="28">
        <f t="shared" si="269"/>
        <v>8.3282812062404108E-34</v>
      </c>
      <c r="M414" s="28">
        <f t="shared" si="269"/>
        <v>8.0062211638424327E-34</v>
      </c>
      <c r="N414" s="28">
        <f t="shared" si="269"/>
        <v>1.1047149543011982E-33</v>
      </c>
      <c r="O414" s="28">
        <f t="shared" si="269"/>
        <v>5.8977339364616019E-34</v>
      </c>
      <c r="P414" s="28">
        <f t="shared" si="269"/>
        <v>5.2261481579997418E-34</v>
      </c>
      <c r="Q414" s="28">
        <f t="shared" si="269"/>
        <v>3.1431606283407516E-34</v>
      </c>
      <c r="R414" s="28">
        <f t="shared" si="269"/>
        <v>1.1706294278582839E-33</v>
      </c>
      <c r="S414" s="28">
        <f t="shared" si="269"/>
        <v>1.257304944901127E-33</v>
      </c>
      <c r="T414" s="28">
        <f t="shared" si="269"/>
        <v>1.257304944901127E-33</v>
      </c>
      <c r="U414" s="28">
        <f t="shared" si="269"/>
        <v>1.257304944901127E-33</v>
      </c>
      <c r="V414" s="28">
        <f t="shared" si="269"/>
        <v>5.7537897310222174E-34</v>
      </c>
      <c r="W414" s="28">
        <f t="shared" si="269"/>
        <v>1.0225282750904426E-33</v>
      </c>
      <c r="X414" s="28">
        <f t="shared" si="269"/>
        <v>9.3584597198664297E-34</v>
      </c>
      <c r="Y414" s="28">
        <f t="shared" si="269"/>
        <v>1.257304944901127E-33</v>
      </c>
      <c r="Z414" s="28">
        <f t="shared" si="269"/>
        <v>1.257304944901127E-33</v>
      </c>
      <c r="AA414" s="28">
        <f t="shared" si="269"/>
        <v>1.257304944901127E-33</v>
      </c>
      <c r="AB414" s="28">
        <f t="shared" si="269"/>
        <v>1.257304944901127E-33</v>
      </c>
      <c r="AC414" s="28">
        <f t="shared" si="269"/>
        <v>1.257304944901127E-33</v>
      </c>
      <c r="AD414" s="28">
        <f t="shared" si="269"/>
        <v>1.257304944901127E-33</v>
      </c>
      <c r="AE414" s="28">
        <f t="shared" si="269"/>
        <v>1.257304944901127E-33</v>
      </c>
      <c r="AF414" s="28">
        <f t="shared" si="269"/>
        <v>1.257304944901127E-33</v>
      </c>
      <c r="AG414" s="28"/>
    </row>
    <row r="415" spans="1:33" x14ac:dyDescent="0.2">
      <c r="A415" s="31" t="s">
        <v>481</v>
      </c>
      <c r="B415" s="212"/>
      <c r="C415" s="79">
        <f t="shared" ref="C415:AF415" si="270">C408+C410+C412+C414</f>
        <v>1.2565044391686313E-33</v>
      </c>
      <c r="D415" s="79">
        <f t="shared" si="270"/>
        <v>1.2578346771405074E-33</v>
      </c>
      <c r="E415" s="79">
        <f t="shared" si="270"/>
        <v>1.2572004126083668E-33</v>
      </c>
      <c r="F415" s="79">
        <f t="shared" si="270"/>
        <v>1.2552650586516268E-33</v>
      </c>
      <c r="G415" s="79">
        <f t="shared" si="270"/>
        <v>1.256992058972977E-33</v>
      </c>
      <c r="H415" s="79">
        <f t="shared" si="270"/>
        <v>1.2571484098174845E-33</v>
      </c>
      <c r="I415" s="79">
        <f t="shared" si="270"/>
        <v>1.2574183711843137E-33</v>
      </c>
      <c r="J415" s="79">
        <f t="shared" si="270"/>
        <v>1.2570095302911148E-33</v>
      </c>
      <c r="K415" s="79">
        <f t="shared" si="270"/>
        <v>5.6486217203170619E-34</v>
      </c>
      <c r="L415" s="79">
        <f t="shared" si="270"/>
        <v>8.3267169065195598E-34</v>
      </c>
      <c r="M415" s="79">
        <f t="shared" si="270"/>
        <v>8.0050943475379962E-34</v>
      </c>
      <c r="N415" s="79">
        <f t="shared" si="270"/>
        <v>1.1044536027610439E-33</v>
      </c>
      <c r="O415" s="79">
        <f t="shared" si="270"/>
        <v>5.8972878122432478E-34</v>
      </c>
      <c r="P415" s="79">
        <f t="shared" si="270"/>
        <v>5.2252403710600968E-34</v>
      </c>
      <c r="Q415" s="79">
        <f t="shared" si="270"/>
        <v>3.1432526877992862E-34</v>
      </c>
      <c r="R415" s="79">
        <f t="shared" si="270"/>
        <v>1.1706388950759909E-33</v>
      </c>
      <c r="S415" s="79">
        <f t="shared" si="270"/>
        <v>1.2573306023783271E-33</v>
      </c>
      <c r="T415" s="79">
        <f t="shared" si="270"/>
        <v>1.2573221623659406E-33</v>
      </c>
      <c r="U415" s="79">
        <f t="shared" si="270"/>
        <v>1.2573228566885047E-33</v>
      </c>
      <c r="V415" s="79">
        <f t="shared" si="270"/>
        <v>5.7539288318586293E-34</v>
      </c>
      <c r="W415" s="79">
        <f t="shared" si="270"/>
        <v>1.0225343386656564E-33</v>
      </c>
      <c r="X415" s="79">
        <f t="shared" si="270"/>
        <v>9.3585389698111605E-34</v>
      </c>
      <c r="Y415" s="79">
        <f t="shared" si="270"/>
        <v>1.2573251810431603E-33</v>
      </c>
      <c r="Z415" s="79">
        <f t="shared" si="270"/>
        <v>1.2573271159347022E-33</v>
      </c>
      <c r="AA415" s="79">
        <f t="shared" si="270"/>
        <v>1.2432032859658409E-33</v>
      </c>
      <c r="AB415" s="79">
        <f t="shared" si="270"/>
        <v>1.2670204559859391E-33</v>
      </c>
      <c r="AC415" s="79">
        <f t="shared" si="270"/>
        <v>1.2487710587570839E-33</v>
      </c>
      <c r="AD415" s="79">
        <f t="shared" si="270"/>
        <v>1.2043691834983649E-33</v>
      </c>
      <c r="AE415" s="79">
        <f t="shared" si="270"/>
        <v>1.2388991955863187E-33</v>
      </c>
      <c r="AF415" s="79">
        <f t="shared" si="270"/>
        <v>1.1932846962762014E-33</v>
      </c>
      <c r="AG415" s="30"/>
    </row>
    <row r="416" spans="1:33" x14ac:dyDescent="0.2">
      <c r="A416" s="198" t="s">
        <v>321</v>
      </c>
      <c r="B416" s="235"/>
      <c r="C416" s="43">
        <f>C118*C124</f>
        <v>8.4407599024625742E-30</v>
      </c>
      <c r="D416" s="43">
        <f t="shared" ref="D416:AF416" si="271">D118*D124</f>
        <v>1.3433991398324222E-30</v>
      </c>
      <c r="E416" s="43">
        <f t="shared" si="271"/>
        <v>3.6899357503594929E-30</v>
      </c>
      <c r="F416" s="43">
        <f t="shared" si="271"/>
        <v>3.4860740357667827E-29</v>
      </c>
      <c r="G416" s="43">
        <f t="shared" si="271"/>
        <v>3.0193591675006028E-29</v>
      </c>
      <c r="H416" s="43">
        <f t="shared" si="271"/>
        <v>6.5837605381445992E-30</v>
      </c>
      <c r="I416" s="43">
        <f t="shared" si="271"/>
        <v>4.8781255631686508E-30</v>
      </c>
      <c r="J416" s="43">
        <f t="shared" si="271"/>
        <v>4.544507284281157E-30</v>
      </c>
      <c r="K416" s="43">
        <f t="shared" si="271"/>
        <v>0</v>
      </c>
      <c r="L416" s="43">
        <f t="shared" si="271"/>
        <v>0</v>
      </c>
      <c r="M416" s="43">
        <f t="shared" si="271"/>
        <v>0</v>
      </c>
      <c r="N416" s="43">
        <f t="shared" si="271"/>
        <v>0</v>
      </c>
      <c r="O416" s="43">
        <f t="shared" si="271"/>
        <v>0</v>
      </c>
      <c r="P416" s="43">
        <f t="shared" si="271"/>
        <v>0</v>
      </c>
      <c r="Q416" s="43">
        <f t="shared" si="271"/>
        <v>0</v>
      </c>
      <c r="R416" s="43">
        <f t="shared" si="271"/>
        <v>0</v>
      </c>
      <c r="S416" s="43">
        <f t="shared" si="271"/>
        <v>5.0611749667336756E-33</v>
      </c>
      <c r="T416" s="43">
        <f t="shared" si="271"/>
        <v>4.4584938964667701E-32</v>
      </c>
      <c r="U416" s="43">
        <f t="shared" si="271"/>
        <v>3.4932711612426177E-32</v>
      </c>
      <c r="V416" s="43">
        <f t="shared" si="271"/>
        <v>0</v>
      </c>
      <c r="W416" s="43">
        <f t="shared" si="271"/>
        <v>0</v>
      </c>
      <c r="X416" s="43">
        <f t="shared" si="271"/>
        <v>0</v>
      </c>
      <c r="Y416" s="43">
        <f t="shared" si="271"/>
        <v>1.9426688113266345E-32</v>
      </c>
      <c r="Z416" s="43">
        <f t="shared" si="271"/>
        <v>3.0056802521362459E-33</v>
      </c>
      <c r="AA416" s="43">
        <f t="shared" si="271"/>
        <v>3.232150055414757E-28</v>
      </c>
      <c r="AB416" s="43">
        <f t="shared" si="271"/>
        <v>3.2728102170502716E-28</v>
      </c>
      <c r="AC416" s="43">
        <f t="shared" si="271"/>
        <v>4.425063471692211E-29</v>
      </c>
      <c r="AD416" s="43">
        <f t="shared" si="271"/>
        <v>1.3657886446754973E-27</v>
      </c>
      <c r="AE416" s="43">
        <f t="shared" si="271"/>
        <v>1.0968234678830996E-27</v>
      </c>
      <c r="AF416" s="43">
        <f t="shared" si="271"/>
        <v>1.9001614628843878E-27</v>
      </c>
      <c r="AG416" s="43"/>
    </row>
    <row r="417" spans="1:33" x14ac:dyDescent="0.2">
      <c r="A417" s="198" t="s">
        <v>482</v>
      </c>
      <c r="B417" s="235"/>
      <c r="C417" s="43">
        <f>(C119/C118)^2</f>
        <v>4.0587371739488539E-5</v>
      </c>
      <c r="D417" s="43">
        <f t="shared" ref="D417:AF417" si="272">(D119/D118)^2</f>
        <v>7.3764625617344726E-4</v>
      </c>
      <c r="E417" s="43">
        <f t="shared" si="272"/>
        <v>2.568731895038974E-4</v>
      </c>
      <c r="F417" s="43">
        <f t="shared" si="272"/>
        <v>3.12421625932889E-5</v>
      </c>
      <c r="G417" s="43">
        <f t="shared" si="272"/>
        <v>3.3396260002993653E-5</v>
      </c>
      <c r="H417" s="43">
        <f t="shared" si="272"/>
        <v>1.5337308931845392E-4</v>
      </c>
      <c r="I417" s="43">
        <f t="shared" si="272"/>
        <v>1.7797944567601474E-4</v>
      </c>
      <c r="J417" s="43">
        <f t="shared" si="272"/>
        <v>1.9974996337361641E-4</v>
      </c>
      <c r="K417" s="43">
        <f t="shared" si="272"/>
        <v>2.0291390495067788E-6</v>
      </c>
      <c r="L417" s="43">
        <f t="shared" si="272"/>
        <v>5.7557679069420483E-6</v>
      </c>
      <c r="M417" s="43">
        <f t="shared" si="272"/>
        <v>6.4867371879790655E-6</v>
      </c>
      <c r="N417" s="43">
        <f t="shared" si="272"/>
        <v>3.7054484995598375E-6</v>
      </c>
      <c r="O417" s="43">
        <f t="shared" si="272"/>
        <v>2.8495494817578036E-5</v>
      </c>
      <c r="P417" s="43">
        <f t="shared" si="272"/>
        <v>5.9629401725357015E-6</v>
      </c>
      <c r="Q417" s="43">
        <f t="shared" si="272"/>
        <v>9.4331170501427337E-5</v>
      </c>
      <c r="R417" s="43">
        <f t="shared" si="272"/>
        <v>3.590169500168661E-4</v>
      </c>
      <c r="S417" s="43">
        <f t="shared" si="272"/>
        <v>4.1316137944069631E-4</v>
      </c>
      <c r="T417" s="43">
        <f t="shared" si="272"/>
        <v>5.0759423927943794E-4</v>
      </c>
      <c r="U417" s="43">
        <f t="shared" si="272"/>
        <v>1.5184223345435027E-3</v>
      </c>
      <c r="V417" s="43">
        <f t="shared" si="272"/>
        <v>2.8433141125844869E-3</v>
      </c>
      <c r="W417" s="43">
        <f t="shared" si="272"/>
        <v>6.7784170576241304E-3</v>
      </c>
      <c r="X417" s="43">
        <f t="shared" si="272"/>
        <v>3.4289541369771873E-4</v>
      </c>
      <c r="Y417" s="43">
        <f t="shared" si="272"/>
        <v>1.0347038078241133E-3</v>
      </c>
      <c r="Z417" s="43">
        <f t="shared" si="272"/>
        <v>1.3505997724111776E-3</v>
      </c>
      <c r="AA417" s="43">
        <f t="shared" si="272"/>
        <v>6.0619813317477404E-8</v>
      </c>
      <c r="AB417" s="43">
        <f t="shared" si="272"/>
        <v>9.2520808041251673E-8</v>
      </c>
      <c r="AC417" s="43">
        <f t="shared" si="272"/>
        <v>5.0443731255370615E-8</v>
      </c>
      <c r="AD417" s="43">
        <f t="shared" si="272"/>
        <v>5.2610277917042349E-8</v>
      </c>
      <c r="AE417" s="43">
        <f t="shared" si="272"/>
        <v>6.814773382975732E-8</v>
      </c>
      <c r="AF417" s="43">
        <f t="shared" si="272"/>
        <v>5.4176511762853055E-8</v>
      </c>
      <c r="AG417" s="43"/>
    </row>
    <row r="418" spans="1:33" x14ac:dyDescent="0.2">
      <c r="A418" s="198" t="s">
        <v>483</v>
      </c>
      <c r="B418" s="235"/>
      <c r="C418" s="43">
        <f>IF(C124&gt;0,(C125/C124)^2,0)</f>
        <v>5.4918538787410956E-4</v>
      </c>
      <c r="D418" s="43">
        <f t="shared" ref="D418:AF418" si="273">IF(D124&gt;0,(D125/D124)^2,0)</f>
        <v>1.1968034808348146E-3</v>
      </c>
      <c r="E418" s="43">
        <f t="shared" si="273"/>
        <v>4.540737029728403E-4</v>
      </c>
      <c r="F418" s="43">
        <f t="shared" si="273"/>
        <v>4.2213909354452779E-5</v>
      </c>
      <c r="G418" s="43">
        <f t="shared" si="273"/>
        <v>5.3226082622947317E-5</v>
      </c>
      <c r="H418" s="43">
        <f t="shared" si="273"/>
        <v>2.3920791159018568E-4</v>
      </c>
      <c r="I418" s="43">
        <f t="shared" si="273"/>
        <v>3.7577134793167859E-4</v>
      </c>
      <c r="J418" s="43">
        <f t="shared" si="273"/>
        <v>3.8440223595398443E-4</v>
      </c>
      <c r="K418" s="43">
        <f t="shared" si="273"/>
        <v>0</v>
      </c>
      <c r="L418" s="43">
        <f t="shared" si="273"/>
        <v>0</v>
      </c>
      <c r="M418" s="43">
        <f t="shared" si="273"/>
        <v>0</v>
      </c>
      <c r="N418" s="43">
        <f t="shared" si="273"/>
        <v>0</v>
      </c>
      <c r="O418" s="43">
        <f t="shared" si="273"/>
        <v>0</v>
      </c>
      <c r="P418" s="43">
        <f t="shared" si="273"/>
        <v>0</v>
      </c>
      <c r="Q418" s="43">
        <f t="shared" si="273"/>
        <v>0</v>
      </c>
      <c r="R418" s="43">
        <f t="shared" si="273"/>
        <v>0</v>
      </c>
      <c r="S418" s="43">
        <f t="shared" si="273"/>
        <v>149.54511081781149</v>
      </c>
      <c r="T418" s="43">
        <f t="shared" si="273"/>
        <v>1.5684994938935861</v>
      </c>
      <c r="U418" s="43">
        <f t="shared" si="273"/>
        <v>0.85390256865254066</v>
      </c>
      <c r="V418" s="43">
        <f t="shared" si="273"/>
        <v>0</v>
      </c>
      <c r="W418" s="43">
        <f t="shared" si="273"/>
        <v>0</v>
      </c>
      <c r="X418" s="43">
        <f t="shared" si="273"/>
        <v>0</v>
      </c>
      <c r="Y418" s="43">
        <f t="shared" si="273"/>
        <v>4.051971219896001</v>
      </c>
      <c r="Z418" s="43">
        <f t="shared" si="273"/>
        <v>129.67342389757843</v>
      </c>
      <c r="AA418" s="43">
        <f t="shared" si="273"/>
        <v>1.9445045373537129E-2</v>
      </c>
      <c r="AB418" s="43">
        <f t="shared" si="273"/>
        <v>2.8753212527095805E-2</v>
      </c>
      <c r="AC418" s="43">
        <f t="shared" si="273"/>
        <v>0.34263490995764184</v>
      </c>
      <c r="AD418" s="43">
        <f t="shared" si="273"/>
        <v>2.1666942871782558E-3</v>
      </c>
      <c r="AE418" s="43">
        <f t="shared" si="273"/>
        <v>2.7184820344326359E-3</v>
      </c>
      <c r="AF418" s="43">
        <f t="shared" si="273"/>
        <v>9.4477260725564245E-4</v>
      </c>
      <c r="AG418" s="43"/>
    </row>
    <row r="419" spans="1:33" x14ac:dyDescent="0.2">
      <c r="A419" s="41" t="s">
        <v>322</v>
      </c>
      <c r="B419" s="44"/>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c r="AA419" s="81"/>
      <c r="AB419" s="81"/>
      <c r="AC419" s="81"/>
      <c r="AD419" s="81"/>
      <c r="AE419" s="81"/>
      <c r="AF419" s="81"/>
      <c r="AG419" s="40"/>
    </row>
    <row r="420" spans="1:33" x14ac:dyDescent="0.2">
      <c r="A420" s="198" t="s">
        <v>323</v>
      </c>
      <c r="B420" s="212"/>
      <c r="C420" s="79">
        <f>C294*C313</f>
        <v>5.1747276800348392E-29</v>
      </c>
      <c r="D420" s="79">
        <f t="shared" ref="D420:AF420" si="274">D294*D313</f>
        <v>2.5931283244144067E-28</v>
      </c>
      <c r="E420" s="79">
        <f t="shared" si="274"/>
        <v>2.0321481604180681E-28</v>
      </c>
      <c r="F420" s="79">
        <f t="shared" si="274"/>
        <v>3.276188244324763E-28</v>
      </c>
      <c r="G420" s="79">
        <f t="shared" si="274"/>
        <v>5.0402061591573066E-28</v>
      </c>
      <c r="H420" s="79">
        <f t="shared" si="274"/>
        <v>3.3156986098760373E-28</v>
      </c>
      <c r="I420" s="79">
        <f t="shared" si="274"/>
        <v>1.4490000697124725E-28</v>
      </c>
      <c r="J420" s="79">
        <f t="shared" si="274"/>
        <v>1.9733141811952987E-28</v>
      </c>
      <c r="K420" s="79">
        <f t="shared" si="274"/>
        <v>4.2450619124813299E-31</v>
      </c>
      <c r="L420" s="79">
        <f t="shared" si="274"/>
        <v>3.4980640816231893E-31</v>
      </c>
      <c r="M420" s="79">
        <f t="shared" si="274"/>
        <v>2.501937737143545E-31</v>
      </c>
      <c r="N420" s="79">
        <f t="shared" si="274"/>
        <v>4.0877347805673143E-31</v>
      </c>
      <c r="O420" s="79">
        <f t="shared" si="274"/>
        <v>2.5364113264756604E-31</v>
      </c>
      <c r="P420" s="79">
        <f t="shared" si="274"/>
        <v>2.4297444011792487E-31</v>
      </c>
      <c r="Q420" s="79">
        <f t="shared" si="274"/>
        <v>2.2478738352424309E-30</v>
      </c>
      <c r="R420" s="79">
        <f t="shared" si="274"/>
        <v>1.3872506179402418E-30</v>
      </c>
      <c r="S420" s="79">
        <f t="shared" si="274"/>
        <v>1.7078002147931121E-30</v>
      </c>
      <c r="T420" s="79">
        <f t="shared" si="274"/>
        <v>5.5670496618448505E-30</v>
      </c>
      <c r="U420" s="79">
        <f t="shared" si="274"/>
        <v>1.1323285104609299E-29</v>
      </c>
      <c r="V420" s="79">
        <f t="shared" si="274"/>
        <v>1.3352964300273404E-29</v>
      </c>
      <c r="W420" s="79">
        <f t="shared" si="274"/>
        <v>5.401018132447933E-29</v>
      </c>
      <c r="X420" s="79">
        <f t="shared" si="274"/>
        <v>1.2193487537722287E-30</v>
      </c>
      <c r="Y420" s="79">
        <f t="shared" si="274"/>
        <v>2.0790677007956315E-30</v>
      </c>
      <c r="Z420" s="79">
        <f t="shared" si="274"/>
        <v>1.0560892882789894E-29</v>
      </c>
      <c r="AA420" s="79">
        <f t="shared" si="274"/>
        <v>6.8416786587027007E-32</v>
      </c>
      <c r="AB420" s="79">
        <f t="shared" si="274"/>
        <v>5.7650909718994315E-32</v>
      </c>
      <c r="AC420" s="79">
        <f t="shared" si="274"/>
        <v>8.7877233364696077E-32</v>
      </c>
      <c r="AD420" s="79">
        <f t="shared" si="274"/>
        <v>1.0126762456572523E-31</v>
      </c>
      <c r="AE420" s="79">
        <f t="shared" si="274"/>
        <v>4.3598258410636228E-32</v>
      </c>
      <c r="AF420" s="79">
        <f t="shared" si="274"/>
        <v>2.0549845015844565E-31</v>
      </c>
      <c r="AG420" s="30"/>
    </row>
    <row r="421" spans="1:33" x14ac:dyDescent="0.2">
      <c r="A421" s="44" t="s">
        <v>484</v>
      </c>
      <c r="B421" s="64"/>
      <c r="C421" s="28">
        <f t="shared" ref="C421:AF421" si="275">C420*(C248^2)</f>
        <v>3.8594856677245873E-38</v>
      </c>
      <c r="D421" s="28">
        <f t="shared" si="275"/>
        <v>5.0363705647239912E-37</v>
      </c>
      <c r="E421" s="28">
        <f t="shared" si="275"/>
        <v>2.1401116911177152E-37</v>
      </c>
      <c r="F421" s="28">
        <f t="shared" si="275"/>
        <v>1.03396354905501E-36</v>
      </c>
      <c r="G421" s="28">
        <f t="shared" si="275"/>
        <v>1.8945141732975436E-36</v>
      </c>
      <c r="H421" s="28">
        <f t="shared" si="275"/>
        <v>4.0072109229149729E-37</v>
      </c>
      <c r="I421" s="28">
        <f t="shared" si="275"/>
        <v>4.0872426789616559E-37</v>
      </c>
      <c r="J421" s="28">
        <f t="shared" si="275"/>
        <v>1.3852834486416626E-37</v>
      </c>
      <c r="K421" s="28">
        <f t="shared" si="275"/>
        <v>5.1307104154742132E-40</v>
      </c>
      <c r="L421" s="28">
        <f t="shared" si="275"/>
        <v>6.0053714568537232E-40</v>
      </c>
      <c r="M421" s="28">
        <f t="shared" si="275"/>
        <v>1.8677578622362994E-39</v>
      </c>
      <c r="N421" s="28">
        <f t="shared" si="275"/>
        <v>1.0661386310697077E-39</v>
      </c>
      <c r="O421" s="28">
        <f t="shared" si="275"/>
        <v>2.917807305951335E-40</v>
      </c>
      <c r="P421" s="28">
        <f t="shared" si="275"/>
        <v>7.3810479344697769E-40</v>
      </c>
      <c r="Q421" s="28">
        <f t="shared" si="275"/>
        <v>2.2032677711411255E-39</v>
      </c>
      <c r="R421" s="28">
        <f t="shared" si="275"/>
        <v>1.3701090248958097E-39</v>
      </c>
      <c r="S421" s="28">
        <f t="shared" si="275"/>
        <v>3.2379319783411655E-39</v>
      </c>
      <c r="T421" s="28">
        <f t="shared" si="275"/>
        <v>2.7307871992066465E-39</v>
      </c>
      <c r="U421" s="28">
        <f t="shared" si="275"/>
        <v>3.9681267907081258E-39</v>
      </c>
      <c r="V421" s="28">
        <f t="shared" si="275"/>
        <v>3.0091307877552075E-39</v>
      </c>
      <c r="W421" s="28">
        <f t="shared" si="275"/>
        <v>1.8513192407084694E-39</v>
      </c>
      <c r="X421" s="28">
        <f t="shared" si="275"/>
        <v>1.1143389129563786E-39</v>
      </c>
      <c r="Y421" s="28">
        <f t="shared" si="275"/>
        <v>3.5651424862044772E-39</v>
      </c>
      <c r="Z421" s="28">
        <f t="shared" si="275"/>
        <v>3.9416693991472239E-39</v>
      </c>
      <c r="AA421" s="28">
        <f t="shared" si="275"/>
        <v>2.4110732329461096E-36</v>
      </c>
      <c r="AB421" s="28">
        <f t="shared" si="275"/>
        <v>7.2515887987738171E-36</v>
      </c>
      <c r="AC421" s="28">
        <f t="shared" si="275"/>
        <v>3.7649302432451325E-37</v>
      </c>
      <c r="AD421" s="28">
        <f t="shared" si="275"/>
        <v>4.059984433564812E-36</v>
      </c>
      <c r="AE421" s="28">
        <f t="shared" si="275"/>
        <v>7.1853397696480745E-36</v>
      </c>
      <c r="AF421" s="28">
        <f t="shared" si="275"/>
        <v>5.8250574723120848E-36</v>
      </c>
      <c r="AG421" s="28"/>
    </row>
    <row r="422" spans="1:33" x14ac:dyDescent="0.2">
      <c r="A422" s="198" t="s">
        <v>324</v>
      </c>
      <c r="B422" s="212"/>
      <c r="C422" s="79">
        <f>C298*C317</f>
        <v>6.1226996166591138E-28</v>
      </c>
      <c r="D422" s="79">
        <f t="shared" ref="D422:AF422" si="276">D298*D317</f>
        <v>4.6746976053293247E-28</v>
      </c>
      <c r="E422" s="79">
        <f t="shared" si="276"/>
        <v>4.0721810250868786E-28</v>
      </c>
      <c r="F422" s="79">
        <f t="shared" si="276"/>
        <v>5.3187670531746981E-28</v>
      </c>
      <c r="G422" s="79">
        <f t="shared" si="276"/>
        <v>9.4555858723105764E-28</v>
      </c>
      <c r="H422" s="79">
        <f t="shared" si="276"/>
        <v>6.0043893686230006E-28</v>
      </c>
      <c r="I422" s="79">
        <f t="shared" si="276"/>
        <v>3.4217632224688361E-28</v>
      </c>
      <c r="J422" s="79">
        <f t="shared" si="276"/>
        <v>4.26840289987848E-28</v>
      </c>
      <c r="K422" s="79">
        <f t="shared" si="276"/>
        <v>2.3182818074100536E-27</v>
      </c>
      <c r="L422" s="79">
        <f t="shared" si="276"/>
        <v>1.2261986419358955E-27</v>
      </c>
      <c r="M422" s="79">
        <f t="shared" si="276"/>
        <v>8.5152683467770547E-28</v>
      </c>
      <c r="N422" s="79">
        <f t="shared" si="276"/>
        <v>1.8213360687348613E-27</v>
      </c>
      <c r="O422" s="79">
        <f t="shared" si="276"/>
        <v>3.7374044978276172E-28</v>
      </c>
      <c r="P422" s="79">
        <f t="shared" si="276"/>
        <v>8.3037171487868132E-28</v>
      </c>
      <c r="Q422" s="79">
        <f t="shared" si="276"/>
        <v>1.2007858879634833E-27</v>
      </c>
      <c r="R422" s="79">
        <f t="shared" si="276"/>
        <v>3.850821464010621E-28</v>
      </c>
      <c r="S422" s="79">
        <f t="shared" si="276"/>
        <v>4.1469330468608487E-28</v>
      </c>
      <c r="T422" s="79">
        <f t="shared" si="276"/>
        <v>8.5557055026309307E-28</v>
      </c>
      <c r="U422" s="79">
        <f t="shared" si="276"/>
        <v>7.1066779884055026E-28</v>
      </c>
      <c r="V422" s="79">
        <f t="shared" si="276"/>
        <v>6.9106411534629899E-28</v>
      </c>
      <c r="W422" s="79">
        <f t="shared" si="276"/>
        <v>1.4827513333833698E-27</v>
      </c>
      <c r="X422" s="79">
        <f t="shared" si="276"/>
        <v>3.4272173940998758E-28</v>
      </c>
      <c r="Y422" s="79">
        <f t="shared" si="276"/>
        <v>2.304460975792757E-28</v>
      </c>
      <c r="Z422" s="79">
        <f t="shared" si="276"/>
        <v>9.6729783731074875E-28</v>
      </c>
      <c r="AA422" s="79">
        <f t="shared" si="276"/>
        <v>9.7533814234648873E-28</v>
      </c>
      <c r="AB422" s="79">
        <f t="shared" si="276"/>
        <v>1.0832024611657543E-27</v>
      </c>
      <c r="AC422" s="79">
        <f t="shared" si="276"/>
        <v>1.0832024611657543E-27</v>
      </c>
      <c r="AD422" s="79">
        <f t="shared" si="276"/>
        <v>1.0518069611990981E-27</v>
      </c>
      <c r="AE422" s="79">
        <f t="shared" si="276"/>
        <v>4.6746976053293247E-28</v>
      </c>
      <c r="AF422" s="79">
        <f t="shared" si="276"/>
        <v>1.4044869249789436E-27</v>
      </c>
      <c r="AG422" s="30"/>
    </row>
    <row r="423" spans="1:33" x14ac:dyDescent="0.2">
      <c r="A423" s="44" t="s">
        <v>484</v>
      </c>
      <c r="B423" s="64"/>
      <c r="C423" s="28">
        <f t="shared" ref="C423:AF423" si="277">C422*(C260^2)</f>
        <v>6.0685082114450004E-40</v>
      </c>
      <c r="D423" s="28">
        <f t="shared" si="277"/>
        <v>4.6333223218686482E-40</v>
      </c>
      <c r="E423" s="28">
        <f t="shared" si="277"/>
        <v>4.0361385559389116E-40</v>
      </c>
      <c r="F423" s="28">
        <f t="shared" si="277"/>
        <v>5.2716911751038841E-40</v>
      </c>
      <c r="G423" s="28">
        <f t="shared" si="277"/>
        <v>9.3718954224069064E-40</v>
      </c>
      <c r="H423" s="28">
        <f t="shared" si="277"/>
        <v>5.95124511564462E-40</v>
      </c>
      <c r="I423" s="28">
        <f t="shared" si="277"/>
        <v>3.3914775365875579E-40</v>
      </c>
      <c r="J423" s="28">
        <f t="shared" si="277"/>
        <v>4.2306236904371016E-40</v>
      </c>
      <c r="K423" s="28">
        <f t="shared" si="277"/>
        <v>2.3164872706605578E-40</v>
      </c>
      <c r="L423" s="28">
        <f t="shared" si="277"/>
        <v>1.2252494654733523E-40</v>
      </c>
      <c r="M423" s="28">
        <f t="shared" si="277"/>
        <v>8.5086768435649485E-41</v>
      </c>
      <c r="N423" s="28">
        <f t="shared" si="277"/>
        <v>1.8199262079931344E-40</v>
      </c>
      <c r="O423" s="28">
        <f t="shared" si="277"/>
        <v>3.7345114458709289E-41</v>
      </c>
      <c r="P423" s="28">
        <f t="shared" si="277"/>
        <v>8.2972894032326326E-41</v>
      </c>
      <c r="Q423" s="28">
        <f t="shared" si="277"/>
        <v>1.1998563830183387E-40</v>
      </c>
      <c r="R423" s="28">
        <f t="shared" si="277"/>
        <v>0</v>
      </c>
      <c r="S423" s="28">
        <f t="shared" si="277"/>
        <v>0</v>
      </c>
      <c r="T423" s="28">
        <f t="shared" si="277"/>
        <v>0</v>
      </c>
      <c r="U423" s="28">
        <f t="shared" si="277"/>
        <v>0</v>
      </c>
      <c r="V423" s="28">
        <f t="shared" si="277"/>
        <v>0</v>
      </c>
      <c r="W423" s="28">
        <f t="shared" si="277"/>
        <v>0</v>
      </c>
      <c r="X423" s="28">
        <f t="shared" si="277"/>
        <v>0</v>
      </c>
      <c r="Y423" s="28">
        <f t="shared" si="277"/>
        <v>0</v>
      </c>
      <c r="Z423" s="28">
        <f t="shared" si="277"/>
        <v>0</v>
      </c>
      <c r="AA423" s="28">
        <f t="shared" si="277"/>
        <v>9.667055214762982E-40</v>
      </c>
      <c r="AB423" s="28">
        <f t="shared" si="277"/>
        <v>1.0736151439401562E-39</v>
      </c>
      <c r="AC423" s="28">
        <f t="shared" si="277"/>
        <v>1.0736151439401562E-39</v>
      </c>
      <c r="AD423" s="28">
        <f t="shared" si="277"/>
        <v>1.0424975224204458E-39</v>
      </c>
      <c r="AE423" s="28">
        <f t="shared" si="277"/>
        <v>4.6333223218686482E-40</v>
      </c>
      <c r="AF423" s="28">
        <f t="shared" si="277"/>
        <v>1.3920559509258691E-39</v>
      </c>
      <c r="AG423" s="28"/>
    </row>
    <row r="424" spans="1:33" x14ac:dyDescent="0.2">
      <c r="A424" s="198" t="s">
        <v>325</v>
      </c>
      <c r="B424" s="212"/>
      <c r="C424" s="79">
        <f>C302*C321</f>
        <v>-6.1069515213309781E-30</v>
      </c>
      <c r="D424" s="79">
        <f t="shared" ref="D424:AF424" si="278">D302*D321</f>
        <v>-2.7989155815627855E-30</v>
      </c>
      <c r="E424" s="79">
        <f t="shared" si="278"/>
        <v>-6.3351386839770292E-30</v>
      </c>
      <c r="F424" s="79">
        <f t="shared" si="278"/>
        <v>-5.7194878088872455E-29</v>
      </c>
      <c r="G424" s="79">
        <f t="shared" si="278"/>
        <v>-4.6933411066498363E-29</v>
      </c>
      <c r="H424" s="79">
        <f t="shared" si="278"/>
        <v>-1.1388808216898554E-29</v>
      </c>
      <c r="I424" s="79">
        <f t="shared" si="278"/>
        <v>-7.4881403790069224E-30</v>
      </c>
      <c r="J424" s="79">
        <f t="shared" si="278"/>
        <v>-7.3942454173021464E-30</v>
      </c>
      <c r="K424" s="79">
        <f t="shared" si="278"/>
        <v>-2.60106501520755E-31</v>
      </c>
      <c r="L424" s="79">
        <f t="shared" si="278"/>
        <v>-2.0578280258176333E-31</v>
      </c>
      <c r="M424" s="79">
        <f t="shared" si="278"/>
        <v>-1.8104545528855269E-31</v>
      </c>
      <c r="N424" s="79">
        <f t="shared" si="278"/>
        <v>-3.3543010212842364E-31</v>
      </c>
      <c r="O424" s="79">
        <f t="shared" si="278"/>
        <v>-7.076666330013619E-32</v>
      </c>
      <c r="P424" s="79">
        <f t="shared" si="278"/>
        <v>-1.279560808014602E-31</v>
      </c>
      <c r="Q424" s="79">
        <f t="shared" si="278"/>
        <v>-3.2760677938900222E-32</v>
      </c>
      <c r="R424" s="79">
        <f t="shared" si="278"/>
        <v>-6.7846267693721405E-32</v>
      </c>
      <c r="S424" s="79">
        <f t="shared" si="278"/>
        <v>-7.3166332225437445E-32</v>
      </c>
      <c r="T424" s="79">
        <f t="shared" si="278"/>
        <v>-9.6332711078153726E-32</v>
      </c>
      <c r="U424" s="79">
        <f t="shared" si="278"/>
        <v>-8.9317619406087337E-32</v>
      </c>
      <c r="V424" s="79">
        <f t="shared" si="278"/>
        <v>-2.9788786265343031E-32</v>
      </c>
      <c r="W424" s="79">
        <f t="shared" si="278"/>
        <v>-5.1539569602422946E-32</v>
      </c>
      <c r="X424" s="79">
        <f t="shared" si="278"/>
        <v>-5.6080928671771636E-32</v>
      </c>
      <c r="Y424" s="79">
        <f t="shared" si="278"/>
        <v>-6.9917498293513643E-32</v>
      </c>
      <c r="Z424" s="79">
        <f t="shared" si="278"/>
        <v>-6.7939620906486205E-32</v>
      </c>
      <c r="AA424" s="79">
        <f t="shared" si="278"/>
        <v>-2.4214065834087266E-28</v>
      </c>
      <c r="AB424" s="79">
        <f t="shared" si="278"/>
        <v>-2.7834228417910903E-28</v>
      </c>
      <c r="AC424" s="79">
        <f t="shared" si="278"/>
        <v>-9.2549505736437121E-29</v>
      </c>
      <c r="AD424" s="79">
        <f t="shared" si="278"/>
        <v>-6.604719439832956E-28</v>
      </c>
      <c r="AE424" s="79">
        <f t="shared" si="278"/>
        <v>-5.17836384396016E-28</v>
      </c>
      <c r="AF424" s="79">
        <f t="shared" si="278"/>
        <v>-8.4513007920080404E-28</v>
      </c>
      <c r="AG424" s="30"/>
    </row>
    <row r="425" spans="1:33" x14ac:dyDescent="0.2">
      <c r="A425" s="44" t="s">
        <v>484</v>
      </c>
      <c r="B425" s="64"/>
      <c r="C425" s="28">
        <f t="shared" ref="C425:AF425" si="279">C424*(C280^2)</f>
        <v>-5.4962563691978793E-37</v>
      </c>
      <c r="D425" s="28">
        <f t="shared" si="279"/>
        <v>-2.5190240234065065E-37</v>
      </c>
      <c r="E425" s="28">
        <f t="shared" si="279"/>
        <v>-5.701624815579325E-37</v>
      </c>
      <c r="F425" s="28">
        <f t="shared" si="279"/>
        <v>-5.14753902799852E-36</v>
      </c>
      <c r="G425" s="28">
        <f t="shared" si="279"/>
        <v>-4.224006995984852E-36</v>
      </c>
      <c r="H425" s="28">
        <f t="shared" si="279"/>
        <v>-1.0249927395208697E-36</v>
      </c>
      <c r="I425" s="28">
        <f t="shared" si="279"/>
        <v>-6.739326341106229E-37</v>
      </c>
      <c r="J425" s="28">
        <f t="shared" si="279"/>
        <v>-6.6548208755719308E-37</v>
      </c>
      <c r="K425" s="28">
        <f t="shared" si="279"/>
        <v>-2.3409585136867946E-38</v>
      </c>
      <c r="L425" s="28">
        <f t="shared" si="279"/>
        <v>-1.8520452232358697E-38</v>
      </c>
      <c r="M425" s="28">
        <f t="shared" si="279"/>
        <v>-1.6294090975969739E-38</v>
      </c>
      <c r="N425" s="28">
        <f t="shared" si="279"/>
        <v>-3.0188709191558123E-38</v>
      </c>
      <c r="O425" s="28">
        <f t="shared" si="279"/>
        <v>-6.3689996970122563E-39</v>
      </c>
      <c r="P425" s="28">
        <f t="shared" si="279"/>
        <v>-1.1516047272131416E-38</v>
      </c>
      <c r="Q425" s="28">
        <f t="shared" si="279"/>
        <v>-2.9484610145010193E-39</v>
      </c>
      <c r="R425" s="28">
        <f t="shared" si="279"/>
        <v>-7.2096728828960627E-40</v>
      </c>
      <c r="S425" s="28">
        <f t="shared" si="279"/>
        <v>-7.155261118961021E-40</v>
      </c>
      <c r="T425" s="28">
        <f t="shared" si="279"/>
        <v>-8.8025882956369252E-40</v>
      </c>
      <c r="U425" s="28">
        <f t="shared" si="279"/>
        <v>-9.7348058395957845E-40</v>
      </c>
      <c r="V425" s="28">
        <f t="shared" si="279"/>
        <v>-3.6259606007050385E-40</v>
      </c>
      <c r="W425" s="28">
        <f t="shared" si="279"/>
        <v>-4.4869701110731129E-40</v>
      </c>
      <c r="X425" s="28">
        <f t="shared" si="279"/>
        <v>-5.3555498948823859E-40</v>
      </c>
      <c r="Y425" s="28">
        <f t="shared" si="279"/>
        <v>-8.3758988183914111E-40</v>
      </c>
      <c r="Z425" s="28">
        <f t="shared" si="279"/>
        <v>-6.874049773689199E-40</v>
      </c>
      <c r="AA425" s="28">
        <f t="shared" si="279"/>
        <v>-9.6856263336349069E-36</v>
      </c>
      <c r="AB425" s="28">
        <f t="shared" si="279"/>
        <v>-1.1133691367164362E-35</v>
      </c>
      <c r="AC425" s="28">
        <f t="shared" si="279"/>
        <v>-3.7019802294574851E-36</v>
      </c>
      <c r="AD425" s="28">
        <f t="shared" si="279"/>
        <v>-2.6418877759331825E-35</v>
      </c>
      <c r="AE425" s="28">
        <f t="shared" si="279"/>
        <v>-2.0713455375840639E-35</v>
      </c>
      <c r="AF425" s="28">
        <f t="shared" si="279"/>
        <v>-3.380520316803216E-35</v>
      </c>
      <c r="AG425" s="28"/>
    </row>
    <row r="426" spans="1:33" x14ac:dyDescent="0.2">
      <c r="A426" s="198" t="s">
        <v>326</v>
      </c>
      <c r="B426" s="212"/>
      <c r="C426" s="79">
        <f>C304*C323</f>
        <v>4.7729984573625914E-2</v>
      </c>
      <c r="D426" s="79">
        <f t="shared" ref="D426:AF426" si="280">D304*D323</f>
        <v>4.7729984573625914E-2</v>
      </c>
      <c r="E426" s="79">
        <f t="shared" si="280"/>
        <v>4.7729984573625914E-2</v>
      </c>
      <c r="F426" s="79">
        <f t="shared" si="280"/>
        <v>4.7729984573625914E-2</v>
      </c>
      <c r="G426" s="79">
        <f t="shared" si="280"/>
        <v>4.7729984573625914E-2</v>
      </c>
      <c r="H426" s="79">
        <f t="shared" si="280"/>
        <v>4.7729984573625914E-2</v>
      </c>
      <c r="I426" s="79">
        <f t="shared" si="280"/>
        <v>4.7729984573625914E-2</v>
      </c>
      <c r="J426" s="79">
        <f t="shared" si="280"/>
        <v>4.7729984573625914E-2</v>
      </c>
      <c r="K426" s="79">
        <f t="shared" si="280"/>
        <v>4.7729984573625914E-2</v>
      </c>
      <c r="L426" s="79">
        <f t="shared" si="280"/>
        <v>4.7729984573625914E-2</v>
      </c>
      <c r="M426" s="79">
        <f t="shared" si="280"/>
        <v>4.7729984573625914E-2</v>
      </c>
      <c r="N426" s="79">
        <f t="shared" si="280"/>
        <v>4.7729984573625914E-2</v>
      </c>
      <c r="O426" s="79">
        <f t="shared" si="280"/>
        <v>4.7729984573625914E-2</v>
      </c>
      <c r="P426" s="79">
        <f t="shared" si="280"/>
        <v>4.7729984573625914E-2</v>
      </c>
      <c r="Q426" s="79">
        <f t="shared" si="280"/>
        <v>4.7729984573625914E-2</v>
      </c>
      <c r="R426" s="79">
        <f t="shared" si="280"/>
        <v>4.7729984573625914E-2</v>
      </c>
      <c r="S426" s="79">
        <f t="shared" si="280"/>
        <v>4.7729984573625914E-2</v>
      </c>
      <c r="T426" s="79">
        <f t="shared" si="280"/>
        <v>4.7729984573625914E-2</v>
      </c>
      <c r="U426" s="79">
        <f t="shared" si="280"/>
        <v>4.7729984573625914E-2</v>
      </c>
      <c r="V426" s="79">
        <f t="shared" si="280"/>
        <v>4.7729984573625914E-2</v>
      </c>
      <c r="W426" s="79">
        <f t="shared" si="280"/>
        <v>4.7729984573625914E-2</v>
      </c>
      <c r="X426" s="79">
        <f t="shared" si="280"/>
        <v>4.7729984573625914E-2</v>
      </c>
      <c r="Y426" s="79">
        <f t="shared" si="280"/>
        <v>4.7729984573625914E-2</v>
      </c>
      <c r="Z426" s="79">
        <f t="shared" si="280"/>
        <v>4.7729984573625914E-2</v>
      </c>
      <c r="AA426" s="79">
        <f t="shared" si="280"/>
        <v>4.7729984573625914E-2</v>
      </c>
      <c r="AB426" s="79">
        <f t="shared" si="280"/>
        <v>4.7729984573625914E-2</v>
      </c>
      <c r="AC426" s="79">
        <f t="shared" si="280"/>
        <v>4.7729984573625914E-2</v>
      </c>
      <c r="AD426" s="79">
        <f t="shared" si="280"/>
        <v>4.7729984573625914E-2</v>
      </c>
      <c r="AE426" s="79">
        <f t="shared" si="280"/>
        <v>4.7729984573625914E-2</v>
      </c>
      <c r="AF426" s="79">
        <f t="shared" si="280"/>
        <v>4.7729984573625914E-2</v>
      </c>
      <c r="AG426" s="30"/>
    </row>
    <row r="427" spans="1:33" x14ac:dyDescent="0.2">
      <c r="A427" s="44" t="s">
        <v>484</v>
      </c>
      <c r="B427" s="64"/>
      <c r="C427" s="28">
        <f t="shared" ref="C427:AF427" si="281">C426*(C278^2)</f>
        <v>1.0827327669774053E-33</v>
      </c>
      <c r="D427" s="28">
        <f t="shared" si="281"/>
        <v>1.0827327669774053E-33</v>
      </c>
      <c r="E427" s="28">
        <f t="shared" si="281"/>
        <v>1.0827327669774053E-33</v>
      </c>
      <c r="F427" s="28">
        <f t="shared" si="281"/>
        <v>1.0827327669774053E-33</v>
      </c>
      <c r="G427" s="28">
        <f t="shared" si="281"/>
        <v>1.0827327669774053E-33</v>
      </c>
      <c r="H427" s="28">
        <f t="shared" si="281"/>
        <v>1.0827327669774053E-33</v>
      </c>
      <c r="I427" s="28">
        <f t="shared" si="281"/>
        <v>1.0827327669774053E-33</v>
      </c>
      <c r="J427" s="28">
        <f t="shared" si="281"/>
        <v>1.0827327669774053E-33</v>
      </c>
      <c r="K427" s="28">
        <f t="shared" si="281"/>
        <v>4.8661777140195893E-34</v>
      </c>
      <c r="L427" s="28">
        <f t="shared" si="281"/>
        <v>7.1719299213507124E-34</v>
      </c>
      <c r="M427" s="28">
        <f t="shared" si="281"/>
        <v>6.8945867340415712E-34</v>
      </c>
      <c r="N427" s="28">
        <f t="shared" si="281"/>
        <v>9.5132933664387599E-34</v>
      </c>
      <c r="O427" s="28">
        <f t="shared" si="281"/>
        <v>5.0788552210965626E-34</v>
      </c>
      <c r="P427" s="28">
        <f t="shared" si="281"/>
        <v>4.5005166635926258E-34</v>
      </c>
      <c r="Q427" s="28">
        <f t="shared" si="281"/>
        <v>2.7067443089118255E-34</v>
      </c>
      <c r="R427" s="28">
        <f t="shared" si="281"/>
        <v>1.0080918274204748E-33</v>
      </c>
      <c r="S427" s="28">
        <f t="shared" si="281"/>
        <v>1.0827327669774053E-33</v>
      </c>
      <c r="T427" s="28">
        <f t="shared" si="281"/>
        <v>1.0827327669774053E-33</v>
      </c>
      <c r="U427" s="28">
        <f t="shared" si="281"/>
        <v>1.0827327669774053E-33</v>
      </c>
      <c r="V427" s="28">
        <f t="shared" si="281"/>
        <v>4.9548971403797126E-34</v>
      </c>
      <c r="W427" s="28">
        <f t="shared" si="281"/>
        <v>8.8055397625782124E-34</v>
      </c>
      <c r="X427" s="28">
        <f t="shared" si="281"/>
        <v>8.0590719285959682E-34</v>
      </c>
      <c r="Y427" s="28">
        <f t="shared" si="281"/>
        <v>1.0827327669774053E-33</v>
      </c>
      <c r="Z427" s="28">
        <f t="shared" si="281"/>
        <v>1.0827327669774053E-33</v>
      </c>
      <c r="AA427" s="28">
        <f t="shared" si="281"/>
        <v>1.0827327669774053E-33</v>
      </c>
      <c r="AB427" s="28">
        <f t="shared" si="281"/>
        <v>1.0827327669774053E-33</v>
      </c>
      <c r="AC427" s="28">
        <f t="shared" si="281"/>
        <v>1.0827327669774053E-33</v>
      </c>
      <c r="AD427" s="28">
        <f t="shared" si="281"/>
        <v>1.0827327669774053E-33</v>
      </c>
      <c r="AE427" s="28">
        <f t="shared" si="281"/>
        <v>1.0827327669774053E-33</v>
      </c>
      <c r="AF427" s="28">
        <f t="shared" si="281"/>
        <v>1.0827327669774053E-33</v>
      </c>
      <c r="AG427" s="28"/>
    </row>
    <row r="428" spans="1:33" x14ac:dyDescent="0.2">
      <c r="A428" s="31" t="s">
        <v>485</v>
      </c>
      <c r="B428" s="212"/>
      <c r="C428" s="79">
        <f t="shared" ref="C428:AF428" si="282">C421+C423+C425+C427</f>
        <v>1.0822223430479839E-33</v>
      </c>
      <c r="D428" s="79">
        <f t="shared" si="282"/>
        <v>1.0829849649637692E-33</v>
      </c>
      <c r="E428" s="79">
        <f t="shared" si="282"/>
        <v>1.0823770192788147E-33</v>
      </c>
      <c r="F428" s="79">
        <f t="shared" si="282"/>
        <v>1.0786197186675793E-33</v>
      </c>
      <c r="G428" s="79">
        <f t="shared" si="282"/>
        <v>1.0804042113442603E-33</v>
      </c>
      <c r="H428" s="79">
        <f t="shared" si="282"/>
        <v>1.0821090904546874E-33</v>
      </c>
      <c r="I428" s="79">
        <f t="shared" si="282"/>
        <v>1.0824678977589445E-33</v>
      </c>
      <c r="J428" s="79">
        <f t="shared" si="282"/>
        <v>1.0822062362970812E-33</v>
      </c>
      <c r="K428" s="79">
        <f t="shared" si="282"/>
        <v>4.8659510653659065E-34</v>
      </c>
      <c r="L428" s="79">
        <f t="shared" si="282"/>
        <v>7.1717519474493112E-34</v>
      </c>
      <c r="M428" s="79">
        <f t="shared" si="282"/>
        <v>6.8944433215781183E-34</v>
      </c>
      <c r="N428" s="79">
        <f t="shared" si="282"/>
        <v>9.5130039606593624E-34</v>
      </c>
      <c r="O428" s="79">
        <f t="shared" si="282"/>
        <v>5.0787948223580433E-34</v>
      </c>
      <c r="P428" s="79">
        <f t="shared" si="282"/>
        <v>4.5004097138967796E-34</v>
      </c>
      <c r="Q428" s="79">
        <f t="shared" si="282"/>
        <v>2.7067380568357751E-34</v>
      </c>
      <c r="R428" s="79">
        <f t="shared" si="282"/>
        <v>1.0080924765622115E-33</v>
      </c>
      <c r="S428" s="79">
        <f t="shared" si="282"/>
        <v>1.0827352893832716E-33</v>
      </c>
      <c r="T428" s="79">
        <f t="shared" si="282"/>
        <v>1.082734617505775E-33</v>
      </c>
      <c r="U428" s="79">
        <f t="shared" si="282"/>
        <v>1.0827357616236121E-33</v>
      </c>
      <c r="V428" s="79">
        <f t="shared" si="282"/>
        <v>4.9549236057269894E-34</v>
      </c>
      <c r="W428" s="79">
        <f t="shared" si="282"/>
        <v>8.8055537888005076E-34</v>
      </c>
      <c r="X428" s="79">
        <f t="shared" si="282"/>
        <v>8.0590777164352024E-34</v>
      </c>
      <c r="Y428" s="79">
        <f t="shared" si="282"/>
        <v>1.0827354945300097E-33</v>
      </c>
      <c r="Z428" s="79">
        <f t="shared" si="282"/>
        <v>1.082736021241827E-33</v>
      </c>
      <c r="AA428" s="79">
        <f t="shared" si="282"/>
        <v>1.075459180582238E-33</v>
      </c>
      <c r="AB428" s="79">
        <f t="shared" si="282"/>
        <v>1.0788517380241587E-33</v>
      </c>
      <c r="AC428" s="79">
        <f t="shared" si="282"/>
        <v>1.0794083533874163E-33</v>
      </c>
      <c r="AD428" s="79">
        <f t="shared" si="282"/>
        <v>1.0603749161491607E-33</v>
      </c>
      <c r="AE428" s="79">
        <f t="shared" si="282"/>
        <v>1.0692051147034448E-33</v>
      </c>
      <c r="AF428" s="79">
        <f t="shared" si="282"/>
        <v>1.0547540133376362E-33</v>
      </c>
      <c r="AG428" s="30"/>
    </row>
    <row r="429" spans="1:33" x14ac:dyDescent="0.2">
      <c r="A429" s="198" t="s">
        <v>327</v>
      </c>
      <c r="B429" s="235"/>
      <c r="C429" s="43">
        <f>C121*C124</f>
        <v>2.2798881612772907E-30</v>
      </c>
      <c r="D429" s="43">
        <f t="shared" ref="D429:AF429" si="283">D121*D124</f>
        <v>9.2058472926468541E-31</v>
      </c>
      <c r="E429" s="43">
        <f t="shared" si="283"/>
        <v>2.4425593883230368E-30</v>
      </c>
      <c r="F429" s="43">
        <f t="shared" si="283"/>
        <v>2.6227067717112888E-29</v>
      </c>
      <c r="G429" s="43">
        <f t="shared" si="283"/>
        <v>2.1016758486695499E-29</v>
      </c>
      <c r="H429" s="43">
        <f t="shared" si="283"/>
        <v>4.6281485571212581E-30</v>
      </c>
      <c r="I429" s="43">
        <f t="shared" si="283"/>
        <v>2.9769362668863681E-30</v>
      </c>
      <c r="J429" s="43">
        <f t="shared" si="283"/>
        <v>2.9033038319206716E-30</v>
      </c>
      <c r="K429" s="43">
        <f t="shared" si="283"/>
        <v>0</v>
      </c>
      <c r="L429" s="43">
        <f t="shared" si="283"/>
        <v>0</v>
      </c>
      <c r="M429" s="43">
        <f t="shared" si="283"/>
        <v>0</v>
      </c>
      <c r="N429" s="43">
        <f t="shared" si="283"/>
        <v>0</v>
      </c>
      <c r="O429" s="43">
        <f t="shared" si="283"/>
        <v>0</v>
      </c>
      <c r="P429" s="43">
        <f t="shared" si="283"/>
        <v>0</v>
      </c>
      <c r="Q429" s="43">
        <f t="shared" si="283"/>
        <v>0</v>
      </c>
      <c r="R429" s="43">
        <f t="shared" si="283"/>
        <v>0</v>
      </c>
      <c r="S429" s="43">
        <f t="shared" si="283"/>
        <v>2.3858522392025865E-34</v>
      </c>
      <c r="T429" s="43">
        <f t="shared" si="283"/>
        <v>2.7143414239983622E-33</v>
      </c>
      <c r="U429" s="43">
        <f t="shared" si="283"/>
        <v>2.8287314284601427E-33</v>
      </c>
      <c r="V429" s="43">
        <f t="shared" si="283"/>
        <v>0</v>
      </c>
      <c r="W429" s="43">
        <f t="shared" si="283"/>
        <v>0</v>
      </c>
      <c r="X429" s="43">
        <f t="shared" si="283"/>
        <v>0</v>
      </c>
      <c r="Y429" s="43">
        <f t="shared" si="283"/>
        <v>1.165205208516554E-33</v>
      </c>
      <c r="Z429" s="43">
        <f t="shared" si="283"/>
        <v>1.4631949201119562E-34</v>
      </c>
      <c r="AA429" s="43">
        <f t="shared" si="283"/>
        <v>5.5794568818505099E-29</v>
      </c>
      <c r="AB429" s="43">
        <f t="shared" si="283"/>
        <v>5.6531893231285177E-29</v>
      </c>
      <c r="AC429" s="43">
        <f t="shared" si="283"/>
        <v>7.6423782147464447E-30</v>
      </c>
      <c r="AD429" s="43">
        <f t="shared" si="283"/>
        <v>2.3625154859183672E-28</v>
      </c>
      <c r="AE429" s="43">
        <f t="shared" si="283"/>
        <v>1.8948847788510455E-28</v>
      </c>
      <c r="AF429" s="43">
        <f t="shared" si="283"/>
        <v>3.2904072263453343E-28</v>
      </c>
      <c r="AG429" s="43"/>
    </row>
    <row r="430" spans="1:33" x14ac:dyDescent="0.2">
      <c r="A430" s="198" t="s">
        <v>486</v>
      </c>
      <c r="B430" s="235"/>
      <c r="C430" s="43">
        <f>(C122/C121)^2</f>
        <v>4.1195387256670694E-4</v>
      </c>
      <c r="D430" s="43">
        <f t="shared" ref="D430:AF430" si="284">(D122/D121)^2</f>
        <v>1.1650587679268255E-3</v>
      </c>
      <c r="E430" s="43">
        <f t="shared" si="284"/>
        <v>4.3503836295430106E-4</v>
      </c>
      <c r="F430" s="43">
        <f t="shared" si="284"/>
        <v>4.1213774453178833E-5</v>
      </c>
      <c r="G430" s="43">
        <f t="shared" si="284"/>
        <v>5.1310807362073472E-5</v>
      </c>
      <c r="H430" s="43">
        <f t="shared" si="284"/>
        <v>2.3046730017059171E-4</v>
      </c>
      <c r="I430" s="43">
        <f t="shared" si="284"/>
        <v>3.5454810170164005E-4</v>
      </c>
      <c r="J430" s="43">
        <f t="shared" si="284"/>
        <v>3.6317105633769522E-4</v>
      </c>
      <c r="K430" s="43">
        <f t="shared" si="284"/>
        <v>6.4632346476158574E-4</v>
      </c>
      <c r="L430" s="43">
        <f t="shared" si="284"/>
        <v>1.8890700327277229E-3</v>
      </c>
      <c r="M430" s="43">
        <f t="shared" si="284"/>
        <v>2.1295744672747479E-3</v>
      </c>
      <c r="N430" s="43">
        <f t="shared" si="284"/>
        <v>1.2075239556486165E-3</v>
      </c>
      <c r="O430" s="43">
        <f t="shared" si="284"/>
        <v>9.509849741164797E-3</v>
      </c>
      <c r="P430" s="43">
        <f t="shared" si="284"/>
        <v>1.975682474867299E-3</v>
      </c>
      <c r="Q430" s="43">
        <f t="shared" si="284"/>
        <v>3.2411670952684608E-2</v>
      </c>
      <c r="R430" s="43">
        <f t="shared" si="284"/>
        <v>0.12889748599499357</v>
      </c>
      <c r="S430" s="43">
        <f t="shared" si="284"/>
        <v>0.13784976112655639</v>
      </c>
      <c r="T430" s="43">
        <f t="shared" si="284"/>
        <v>0.10155062257485621</v>
      </c>
      <c r="U430" s="43">
        <f t="shared" si="284"/>
        <v>0.17172013215646761</v>
      </c>
      <c r="V430" s="43">
        <f t="shared" si="284"/>
        <v>1.067839124646512</v>
      </c>
      <c r="W430" s="43">
        <f t="shared" si="284"/>
        <v>2.5217053721508087</v>
      </c>
      <c r="X430" s="43">
        <f t="shared" si="284"/>
        <v>0.11581015463894966</v>
      </c>
      <c r="Y430" s="43">
        <f t="shared" si="284"/>
        <v>0.21326941286773871</v>
      </c>
      <c r="Z430" s="43">
        <f t="shared" si="284"/>
        <v>0.42260653038414286</v>
      </c>
      <c r="AA430" s="43">
        <f t="shared" si="284"/>
        <v>2.0330275678246865E-7</v>
      </c>
      <c r="AB430" s="43">
        <f t="shared" si="284"/>
        <v>2.311339600912877E-7</v>
      </c>
      <c r="AC430" s="43">
        <f t="shared" si="284"/>
        <v>2.2729468346715536E-7</v>
      </c>
      <c r="AD430" s="43">
        <f t="shared" si="284"/>
        <v>1.8155712987781127E-7</v>
      </c>
      <c r="AE430" s="43">
        <f t="shared" si="284"/>
        <v>2.066018430134431E-7</v>
      </c>
      <c r="AF430" s="43">
        <f t="shared" si="284"/>
        <v>1.8489135248639847E-7</v>
      </c>
      <c r="AG430" s="43"/>
    </row>
    <row r="431" spans="1:33" x14ac:dyDescent="0.2">
      <c r="A431" s="198" t="s">
        <v>483</v>
      </c>
      <c r="B431" s="235"/>
      <c r="C431" s="43">
        <f>IF(C124&gt;0,(C125/C124)^2,0)</f>
        <v>5.4918538787410956E-4</v>
      </c>
      <c r="D431" s="43">
        <f t="shared" ref="D431:AF431" si="285">IF(D124&gt;0,(D125/D124)^2,0)</f>
        <v>1.1968034808348146E-3</v>
      </c>
      <c r="E431" s="43">
        <f t="shared" si="285"/>
        <v>4.540737029728403E-4</v>
      </c>
      <c r="F431" s="43">
        <f t="shared" si="285"/>
        <v>4.2213909354452779E-5</v>
      </c>
      <c r="G431" s="43">
        <f t="shared" si="285"/>
        <v>5.3226082622947317E-5</v>
      </c>
      <c r="H431" s="43">
        <f t="shared" si="285"/>
        <v>2.3920791159018568E-4</v>
      </c>
      <c r="I431" s="43">
        <f t="shared" si="285"/>
        <v>3.7577134793167859E-4</v>
      </c>
      <c r="J431" s="43">
        <f t="shared" si="285"/>
        <v>3.8440223595398443E-4</v>
      </c>
      <c r="K431" s="43">
        <f t="shared" si="285"/>
        <v>0</v>
      </c>
      <c r="L431" s="43">
        <f t="shared" si="285"/>
        <v>0</v>
      </c>
      <c r="M431" s="43">
        <f t="shared" si="285"/>
        <v>0</v>
      </c>
      <c r="N431" s="43">
        <f t="shared" si="285"/>
        <v>0</v>
      </c>
      <c r="O431" s="43">
        <f t="shared" si="285"/>
        <v>0</v>
      </c>
      <c r="P431" s="43">
        <f t="shared" si="285"/>
        <v>0</v>
      </c>
      <c r="Q431" s="43">
        <f t="shared" si="285"/>
        <v>0</v>
      </c>
      <c r="R431" s="43">
        <f t="shared" si="285"/>
        <v>0</v>
      </c>
      <c r="S431" s="43">
        <f t="shared" si="285"/>
        <v>149.54511081781149</v>
      </c>
      <c r="T431" s="43">
        <f t="shared" si="285"/>
        <v>1.5684994938935861</v>
      </c>
      <c r="U431" s="43">
        <f t="shared" si="285"/>
        <v>0.85390256865254066</v>
      </c>
      <c r="V431" s="43">
        <f t="shared" si="285"/>
        <v>0</v>
      </c>
      <c r="W431" s="43">
        <f t="shared" si="285"/>
        <v>0</v>
      </c>
      <c r="X431" s="43">
        <f t="shared" si="285"/>
        <v>0</v>
      </c>
      <c r="Y431" s="43">
        <f t="shared" si="285"/>
        <v>4.051971219896001</v>
      </c>
      <c r="Z431" s="43">
        <f t="shared" si="285"/>
        <v>129.67342389757843</v>
      </c>
      <c r="AA431" s="43">
        <f t="shared" si="285"/>
        <v>1.9445045373537129E-2</v>
      </c>
      <c r="AB431" s="43">
        <f t="shared" si="285"/>
        <v>2.8753212527095805E-2</v>
      </c>
      <c r="AC431" s="43">
        <f t="shared" si="285"/>
        <v>0.34263490995764184</v>
      </c>
      <c r="AD431" s="43">
        <f t="shared" si="285"/>
        <v>2.1666942871782558E-3</v>
      </c>
      <c r="AE431" s="43">
        <f t="shared" si="285"/>
        <v>2.7184820344326359E-3</v>
      </c>
      <c r="AF431" s="43">
        <f t="shared" si="285"/>
        <v>9.4477260725564245E-4</v>
      </c>
      <c r="AG431" s="43"/>
    </row>
    <row r="432" spans="1:33" x14ac:dyDescent="0.2">
      <c r="A432" s="41" t="s">
        <v>328</v>
      </c>
      <c r="B432" s="44"/>
      <c r="C432" s="81"/>
      <c r="D432" s="81"/>
      <c r="E432" s="81"/>
      <c r="F432" s="81"/>
      <c r="G432" s="81"/>
      <c r="H432" s="81"/>
      <c r="I432" s="81"/>
      <c r="J432" s="81"/>
      <c r="K432" s="81"/>
      <c r="L432" s="81"/>
      <c r="M432" s="81"/>
      <c r="N432" s="81"/>
      <c r="O432" s="81"/>
      <c r="P432" s="81"/>
      <c r="Q432" s="81"/>
      <c r="R432" s="81"/>
      <c r="S432" s="81"/>
      <c r="T432" s="81"/>
      <c r="U432" s="81"/>
      <c r="V432" s="81"/>
      <c r="W432" s="81"/>
      <c r="X432" s="81"/>
      <c r="Y432" s="81"/>
      <c r="Z432" s="81"/>
      <c r="AA432" s="81"/>
      <c r="AB432" s="81"/>
      <c r="AC432" s="81"/>
      <c r="AD432" s="81"/>
      <c r="AE432" s="81"/>
      <c r="AF432" s="81"/>
      <c r="AG432" s="40"/>
    </row>
    <row r="433" spans="1:33" x14ac:dyDescent="0.2">
      <c r="A433" s="198" t="s">
        <v>329</v>
      </c>
      <c r="B433" s="212"/>
      <c r="C433" s="79">
        <f>C285*C294</f>
        <v>3.0517602720757339E-27</v>
      </c>
      <c r="D433" s="79">
        <f t="shared" ref="D433:AF433" si="286">D285*D294</f>
        <v>5.6266163218018564E-27</v>
      </c>
      <c r="E433" s="79">
        <f t="shared" si="286"/>
        <v>4.6814123466090914E-27</v>
      </c>
      <c r="F433" s="79">
        <f t="shared" si="286"/>
        <v>6.7908766305208027E-27</v>
      </c>
      <c r="G433" s="79">
        <f t="shared" si="286"/>
        <v>1.1225012978210269E-26</v>
      </c>
      <c r="H433" s="79">
        <f t="shared" si="286"/>
        <v>7.2567251122390002E-27</v>
      </c>
      <c r="I433" s="79">
        <f t="shared" si="286"/>
        <v>3.6376714534774297E-27</v>
      </c>
      <c r="J433" s="79">
        <f t="shared" si="286"/>
        <v>4.7404718314311852E-27</v>
      </c>
      <c r="K433" s="79">
        <f t="shared" si="286"/>
        <v>9.0832083842078899E-28</v>
      </c>
      <c r="L433" s="79">
        <f t="shared" si="286"/>
        <v>5.0975200212366131E-28</v>
      </c>
      <c r="M433" s="79">
        <f t="shared" si="286"/>
        <v>3.5648921000821802E-28</v>
      </c>
      <c r="N433" s="79">
        <f t="shared" si="286"/>
        <v>7.3424423520969862E-28</v>
      </c>
      <c r="O433" s="79">
        <f t="shared" si="286"/>
        <v>1.8198078803035835E-28</v>
      </c>
      <c r="P433" s="79">
        <f t="shared" si="286"/>
        <v>3.4480665278503908E-28</v>
      </c>
      <c r="Q433" s="79">
        <f t="shared" si="286"/>
        <v>7.2455976283553212E-28</v>
      </c>
      <c r="R433" s="79">
        <f t="shared" si="286"/>
        <v>2.990759411696729E-28</v>
      </c>
      <c r="S433" s="79">
        <f t="shared" si="286"/>
        <v>3.3921603109746894E-28</v>
      </c>
      <c r="T433" s="79">
        <f t="shared" si="286"/>
        <v>8.2860571118133891E-28</v>
      </c>
      <c r="U433" s="79">
        <f t="shared" si="286"/>
        <v>1.0057440674246807E-27</v>
      </c>
      <c r="V433" s="79">
        <f t="shared" si="286"/>
        <v>1.0231703403413232E-27</v>
      </c>
      <c r="W433" s="79">
        <f t="shared" si="286"/>
        <v>2.8952880285219239E-27</v>
      </c>
      <c r="X433" s="79">
        <f t="shared" si="286"/>
        <v>2.6621805166887955E-28</v>
      </c>
      <c r="Y433" s="79">
        <f t="shared" si="286"/>
        <v>2.6085185464369037E-28</v>
      </c>
      <c r="Z433" s="79">
        <f t="shared" si="286"/>
        <v>1.1429937264726009E-27</v>
      </c>
      <c r="AA433" s="79">
        <f t="shared" si="286"/>
        <v>2.8401049663962268E-27</v>
      </c>
      <c r="AB433" s="79">
        <f t="shared" si="286"/>
        <v>3.1557191014469721E-27</v>
      </c>
      <c r="AC433" s="79">
        <f t="shared" si="286"/>
        <v>3.157854486329449E-27</v>
      </c>
      <c r="AD433" s="79">
        <f t="shared" si="286"/>
        <v>3.068322313912597E-27</v>
      </c>
      <c r="AE433" s="79">
        <f t="shared" si="286"/>
        <v>1.3619282320263639E-27</v>
      </c>
      <c r="AF433" s="79">
        <f t="shared" si="286"/>
        <v>4.1020155372039301E-27</v>
      </c>
      <c r="AG433" s="30"/>
    </row>
    <row r="434" spans="1:33" x14ac:dyDescent="0.2">
      <c r="A434" s="44" t="s">
        <v>165</v>
      </c>
      <c r="B434" s="64"/>
      <c r="C434" s="28">
        <f t="shared" ref="C434:AF434" si="287">C433*(C248^2)</f>
        <v>2.2761052870183664E-36</v>
      </c>
      <c r="D434" s="28">
        <f t="shared" si="287"/>
        <v>1.0928007131508931E-35</v>
      </c>
      <c r="E434" s="28">
        <f t="shared" si="287"/>
        <v>4.9301254155896807E-36</v>
      </c>
      <c r="F434" s="28">
        <f t="shared" si="287"/>
        <v>2.1431976365372689E-35</v>
      </c>
      <c r="G434" s="28">
        <f t="shared" si="287"/>
        <v>4.21926117923394E-35</v>
      </c>
      <c r="H434" s="28">
        <f t="shared" si="287"/>
        <v>8.7701662773995853E-36</v>
      </c>
      <c r="I434" s="28">
        <f t="shared" si="287"/>
        <v>1.0260900829110189E-35</v>
      </c>
      <c r="J434" s="28">
        <f t="shared" si="287"/>
        <v>3.3278518086034701E-36</v>
      </c>
      <c r="K434" s="28">
        <f t="shared" si="287"/>
        <v>1.0978240794499387E-36</v>
      </c>
      <c r="L434" s="28">
        <f t="shared" si="287"/>
        <v>8.7512694227344663E-37</v>
      </c>
      <c r="M434" s="28">
        <f t="shared" si="287"/>
        <v>2.6612793552386277E-36</v>
      </c>
      <c r="N434" s="28">
        <f t="shared" si="287"/>
        <v>1.9150120685879017E-36</v>
      </c>
      <c r="O434" s="28">
        <f t="shared" si="287"/>
        <v>2.0934493838409227E-37</v>
      </c>
      <c r="P434" s="28">
        <f t="shared" si="287"/>
        <v>1.0474494482198402E-36</v>
      </c>
      <c r="Q434" s="28">
        <f t="shared" si="287"/>
        <v>7.101818388081444E-37</v>
      </c>
      <c r="R434" s="28">
        <f t="shared" si="287"/>
        <v>2.9538040266595037E-37</v>
      </c>
      <c r="S434" s="28">
        <f t="shared" si="287"/>
        <v>6.4314222772803919E-37</v>
      </c>
      <c r="T434" s="28">
        <f t="shared" si="287"/>
        <v>4.0645332927273987E-37</v>
      </c>
      <c r="U434" s="28">
        <f t="shared" si="287"/>
        <v>3.5245248544692002E-37</v>
      </c>
      <c r="V434" s="28">
        <f t="shared" si="287"/>
        <v>2.3057452285527417E-37</v>
      </c>
      <c r="W434" s="28">
        <f t="shared" si="287"/>
        <v>9.9242444723401466E-38</v>
      </c>
      <c r="X434" s="28">
        <f t="shared" si="287"/>
        <v>2.4329145651587637E-37</v>
      </c>
      <c r="Y434" s="28">
        <f t="shared" si="287"/>
        <v>4.4730338951423589E-37</v>
      </c>
      <c r="Z434" s="28">
        <f t="shared" si="287"/>
        <v>4.2660250842958336E-37</v>
      </c>
      <c r="AA434" s="28">
        <f t="shared" si="287"/>
        <v>1.0008802524691644E-31</v>
      </c>
      <c r="AB434" s="28">
        <f t="shared" si="287"/>
        <v>3.9694043684084013E-31</v>
      </c>
      <c r="AC434" s="28">
        <f t="shared" si="287"/>
        <v>1.3529217300240371E-32</v>
      </c>
      <c r="AD434" s="28">
        <f t="shared" si="287"/>
        <v>1.2301405197432653E-31</v>
      </c>
      <c r="AE434" s="28">
        <f t="shared" si="287"/>
        <v>2.2445660550968596E-31</v>
      </c>
      <c r="AF434" s="28">
        <f t="shared" si="287"/>
        <v>1.1627570056176406E-31</v>
      </c>
      <c r="AG434" s="28"/>
    </row>
    <row r="435" spans="1:33" x14ac:dyDescent="0.2">
      <c r="A435" s="198" t="s">
        <v>330</v>
      </c>
      <c r="B435" s="212"/>
      <c r="C435" s="79">
        <f>C287*C298</f>
        <v>9.1488261992095942E-27</v>
      </c>
      <c r="D435" s="79">
        <f t="shared" ref="D435:AF435" si="288">D287*D298</f>
        <v>6.9851533804880478E-27</v>
      </c>
      <c r="E435" s="79">
        <f t="shared" si="288"/>
        <v>6.0848447225584767E-27</v>
      </c>
      <c r="F435" s="79">
        <f t="shared" si="288"/>
        <v>7.9475522906886206E-27</v>
      </c>
      <c r="G435" s="79">
        <f t="shared" si="288"/>
        <v>1.4128981850113111E-26</v>
      </c>
      <c r="H435" s="79">
        <f t="shared" si="288"/>
        <v>8.9720414531602052E-27</v>
      </c>
      <c r="I435" s="79">
        <f t="shared" si="288"/>
        <v>5.1129598015942764E-27</v>
      </c>
      <c r="J435" s="79">
        <f t="shared" si="288"/>
        <v>6.3780486916160006E-27</v>
      </c>
      <c r="K435" s="79">
        <f t="shared" si="288"/>
        <v>1.2410789532579587E-26</v>
      </c>
      <c r="L435" s="79">
        <f t="shared" si="288"/>
        <v>6.5643845461577972E-27</v>
      </c>
      <c r="M435" s="79">
        <f t="shared" si="288"/>
        <v>4.558600379276249E-27</v>
      </c>
      <c r="N435" s="79">
        <f t="shared" si="288"/>
        <v>9.750418842486342E-27</v>
      </c>
      <c r="O435" s="79">
        <f t="shared" si="288"/>
        <v>2.0007981977167162E-27</v>
      </c>
      <c r="P435" s="79">
        <f t="shared" si="288"/>
        <v>4.4453476511036047E-27</v>
      </c>
      <c r="Q435" s="79">
        <f t="shared" si="288"/>
        <v>6.4283388160887741E-27</v>
      </c>
      <c r="R435" s="79">
        <f t="shared" si="288"/>
        <v>2.4383911946607809E-27</v>
      </c>
      <c r="S435" s="79">
        <f t="shared" si="288"/>
        <v>2.6258929739582985E-27</v>
      </c>
      <c r="T435" s="79">
        <f t="shared" si="288"/>
        <v>5.4175861323880142E-27</v>
      </c>
      <c r="U435" s="79">
        <f t="shared" si="288"/>
        <v>4.5000427031404365E-27</v>
      </c>
      <c r="V435" s="79">
        <f t="shared" si="288"/>
        <v>4.3759095807351358E-27</v>
      </c>
      <c r="W435" s="79">
        <f t="shared" si="288"/>
        <v>9.3889779855646127E-27</v>
      </c>
      <c r="X435" s="79">
        <f t="shared" si="288"/>
        <v>2.1701594826101645E-27</v>
      </c>
      <c r="Y435" s="79">
        <f t="shared" si="288"/>
        <v>1.4592152361070745E-27</v>
      </c>
      <c r="Z435" s="79">
        <f t="shared" si="288"/>
        <v>6.1250581237189266E-27</v>
      </c>
      <c r="AA435" s="79">
        <f t="shared" si="288"/>
        <v>1.4573961991388644E-26</v>
      </c>
      <c r="AB435" s="79">
        <f t="shared" si="288"/>
        <v>1.6185721456590143E-26</v>
      </c>
      <c r="AC435" s="79">
        <f t="shared" si="288"/>
        <v>1.6185721456590143E-26</v>
      </c>
      <c r="AD435" s="79">
        <f t="shared" si="288"/>
        <v>1.5716595106098106E-26</v>
      </c>
      <c r="AE435" s="79">
        <f t="shared" si="288"/>
        <v>6.9851533804880478E-27</v>
      </c>
      <c r="AF435" s="79">
        <f t="shared" si="288"/>
        <v>2.0986505267599641E-26</v>
      </c>
      <c r="AG435" s="30"/>
    </row>
    <row r="436" spans="1:33" x14ac:dyDescent="0.2">
      <c r="A436" s="44" t="s">
        <v>165</v>
      </c>
      <c r="B436" s="64"/>
      <c r="C436" s="28">
        <f t="shared" ref="C436:AF436" si="289">C435*(C260^2)</f>
        <v>9.0678508486557494E-39</v>
      </c>
      <c r="D436" s="28">
        <f t="shared" si="289"/>
        <v>6.9233284828081399E-39</v>
      </c>
      <c r="E436" s="28">
        <f t="shared" si="289"/>
        <v>6.0309883672462018E-39</v>
      </c>
      <c r="F436" s="28">
        <f t="shared" si="289"/>
        <v>7.8772092959950358E-39</v>
      </c>
      <c r="G436" s="28">
        <f t="shared" si="289"/>
        <v>1.4003927637324517E-38</v>
      </c>
      <c r="H436" s="28">
        <f t="shared" si="289"/>
        <v>8.8926308068069014E-39</v>
      </c>
      <c r="I436" s="28">
        <f t="shared" si="289"/>
        <v>5.0677055030332671E-39</v>
      </c>
      <c r="J436" s="28">
        <f t="shared" si="289"/>
        <v>6.3215972171418518E-39</v>
      </c>
      <c r="K436" s="28">
        <f t="shared" si="289"/>
        <v>1.2401182582365303E-39</v>
      </c>
      <c r="L436" s="28">
        <f t="shared" si="289"/>
        <v>6.5593031840609851E-40</v>
      </c>
      <c r="M436" s="28">
        <f t="shared" si="289"/>
        <v>4.5550716555979075E-40</v>
      </c>
      <c r="N436" s="28">
        <f t="shared" si="289"/>
        <v>9.7428712333562135E-40</v>
      </c>
      <c r="O436" s="28">
        <f t="shared" si="289"/>
        <v>1.9992494188397689E-40</v>
      </c>
      <c r="P436" s="28">
        <f t="shared" si="289"/>
        <v>4.4419065941541468E-40</v>
      </c>
      <c r="Q436" s="28">
        <f t="shared" si="289"/>
        <v>6.4233627643392378E-40</v>
      </c>
      <c r="R436" s="28">
        <f t="shared" si="289"/>
        <v>0</v>
      </c>
      <c r="S436" s="28">
        <f t="shared" si="289"/>
        <v>0</v>
      </c>
      <c r="T436" s="28">
        <f t="shared" si="289"/>
        <v>0</v>
      </c>
      <c r="U436" s="28">
        <f t="shared" si="289"/>
        <v>0</v>
      </c>
      <c r="V436" s="28">
        <f t="shared" si="289"/>
        <v>0</v>
      </c>
      <c r="W436" s="28">
        <f t="shared" si="289"/>
        <v>0</v>
      </c>
      <c r="X436" s="28">
        <f t="shared" si="289"/>
        <v>0</v>
      </c>
      <c r="Y436" s="28">
        <f t="shared" si="289"/>
        <v>0</v>
      </c>
      <c r="Z436" s="28">
        <f t="shared" si="289"/>
        <v>0</v>
      </c>
      <c r="AA436" s="28">
        <f t="shared" si="289"/>
        <v>1.4444969303636738E-38</v>
      </c>
      <c r="AB436" s="28">
        <f t="shared" si="289"/>
        <v>1.6042463246151352E-38</v>
      </c>
      <c r="AC436" s="28">
        <f t="shared" si="289"/>
        <v>1.6042463246151352E-38</v>
      </c>
      <c r="AD436" s="28">
        <f t="shared" si="289"/>
        <v>1.5577489086318313E-38</v>
      </c>
      <c r="AE436" s="28">
        <f t="shared" si="289"/>
        <v>6.9233284828081399E-39</v>
      </c>
      <c r="AF436" s="28">
        <f t="shared" si="289"/>
        <v>2.0800755797236895E-38</v>
      </c>
      <c r="AG436" s="28"/>
    </row>
    <row r="437" spans="1:33" x14ac:dyDescent="0.2">
      <c r="A437" s="198" t="s">
        <v>331</v>
      </c>
      <c r="B437" s="212"/>
      <c r="C437" s="79">
        <f>C289*C302</f>
        <v>3.590026414378107E-28</v>
      </c>
      <c r="D437" s="79">
        <f t="shared" ref="D437:AF437" si="290">D289*D302</f>
        <v>6.0537342069777736E-29</v>
      </c>
      <c r="E437" s="79">
        <f t="shared" si="290"/>
        <v>1.4547484756832475E-28</v>
      </c>
      <c r="F437" s="79">
        <f t="shared" si="290"/>
        <v>1.1817466727169072E-27</v>
      </c>
      <c r="G437" s="79">
        <f t="shared" si="290"/>
        <v>1.0419117288597065E-27</v>
      </c>
      <c r="H437" s="79">
        <f t="shared" si="290"/>
        <v>2.4845867283457113E-28</v>
      </c>
      <c r="I437" s="79">
        <f t="shared" si="290"/>
        <v>1.8738693147375685E-28</v>
      </c>
      <c r="J437" s="79">
        <f t="shared" si="290"/>
        <v>1.770636655340573E-28</v>
      </c>
      <c r="K437" s="79">
        <f t="shared" si="290"/>
        <v>5.547747844843311E-28</v>
      </c>
      <c r="L437" s="79">
        <f t="shared" si="290"/>
        <v>2.989169299751096E-28</v>
      </c>
      <c r="M437" s="79">
        <f t="shared" si="290"/>
        <v>2.5713889635542242E-28</v>
      </c>
      <c r="N437" s="79">
        <f t="shared" si="290"/>
        <v>6.0057897730731782E-28</v>
      </c>
      <c r="O437" s="79">
        <f t="shared" si="290"/>
        <v>5.0610990009653887E-29</v>
      </c>
      <c r="P437" s="79">
        <f t="shared" si="290"/>
        <v>1.8100319149634782E-28</v>
      </c>
      <c r="Q437" s="79">
        <f t="shared" si="290"/>
        <v>1.0526049721077078E-29</v>
      </c>
      <c r="R437" s="79">
        <f t="shared" si="290"/>
        <v>1.4573153729465295E-29</v>
      </c>
      <c r="S437" s="79">
        <f t="shared" si="290"/>
        <v>1.4476969257850832E-29</v>
      </c>
      <c r="T437" s="79">
        <f t="shared" si="290"/>
        <v>1.4297267481019727E-29</v>
      </c>
      <c r="U437" s="79">
        <f t="shared" si="290"/>
        <v>7.9091352198492761E-30</v>
      </c>
      <c r="V437" s="79">
        <f t="shared" si="290"/>
        <v>2.2753601082833995E-30</v>
      </c>
      <c r="W437" s="79">
        <f t="shared" si="290"/>
        <v>2.7560550855249676E-30</v>
      </c>
      <c r="X437" s="79">
        <f t="shared" si="290"/>
        <v>1.2221994946845403E-29</v>
      </c>
      <c r="Y437" s="79">
        <f t="shared" si="290"/>
        <v>8.7470013561856872E-30</v>
      </c>
      <c r="Z437" s="79">
        <f t="shared" si="290"/>
        <v>7.3310940923277189E-30</v>
      </c>
      <c r="AA437" s="79">
        <f t="shared" si="290"/>
        <v>1.0031614824681064E-23</v>
      </c>
      <c r="AB437" s="79">
        <f t="shared" si="290"/>
        <v>1.5205572332796483E-23</v>
      </c>
      <c r="AC437" s="79">
        <f t="shared" si="290"/>
        <v>3.3191069964040972E-24</v>
      </c>
      <c r="AD437" s="79">
        <f t="shared" si="290"/>
        <v>1.9971750888164944E-23</v>
      </c>
      <c r="AE437" s="79">
        <f t="shared" si="290"/>
        <v>1.6143922125742564E-23</v>
      </c>
      <c r="AF437" s="79">
        <f t="shared" si="290"/>
        <v>1.6836186191612008E-23</v>
      </c>
      <c r="AG437" s="30"/>
    </row>
    <row r="438" spans="1:33" x14ac:dyDescent="0.2">
      <c r="A438" s="44" t="s">
        <v>165</v>
      </c>
      <c r="B438" s="64"/>
      <c r="C438" s="28">
        <f t="shared" ref="C438:AF438" si="291">C437*(C280^2)</f>
        <v>3.231023772940296E-35</v>
      </c>
      <c r="D438" s="28">
        <f t="shared" si="291"/>
        <v>5.4483607862799956E-36</v>
      </c>
      <c r="E438" s="28">
        <f t="shared" si="291"/>
        <v>1.3092736281149225E-35</v>
      </c>
      <c r="F438" s="28">
        <f t="shared" si="291"/>
        <v>1.0635720054452163E-34</v>
      </c>
      <c r="G438" s="28">
        <f t="shared" si="291"/>
        <v>9.3772055597373574E-35</v>
      </c>
      <c r="H438" s="28">
        <f t="shared" si="291"/>
        <v>2.2361280555111397E-35</v>
      </c>
      <c r="I438" s="28">
        <f t="shared" si="291"/>
        <v>1.6864823832638113E-35</v>
      </c>
      <c r="J438" s="28">
        <f t="shared" si="291"/>
        <v>1.5935729898065155E-35</v>
      </c>
      <c r="K438" s="28">
        <f t="shared" si="291"/>
        <v>4.9929730603589794E-35</v>
      </c>
      <c r="L438" s="28">
        <f t="shared" si="291"/>
        <v>2.6902523697759861E-35</v>
      </c>
      <c r="M438" s="28">
        <f t="shared" si="291"/>
        <v>2.3142500671988014E-35</v>
      </c>
      <c r="N438" s="28">
        <f t="shared" si="291"/>
        <v>5.4052107957658596E-35</v>
      </c>
      <c r="O438" s="28">
        <f t="shared" si="291"/>
        <v>4.5549891008688491E-36</v>
      </c>
      <c r="P438" s="28">
        <f t="shared" si="291"/>
        <v>1.6290287234671301E-35</v>
      </c>
      <c r="Q438" s="28">
        <f t="shared" si="291"/>
        <v>9.4734447489693678E-37</v>
      </c>
      <c r="R438" s="28">
        <f t="shared" si="291"/>
        <v>1.5486138712288323E-37</v>
      </c>
      <c r="S438" s="28">
        <f t="shared" si="291"/>
        <v>1.4157672265424909E-37</v>
      </c>
      <c r="T438" s="28">
        <f t="shared" si="291"/>
        <v>1.3064405431911022E-37</v>
      </c>
      <c r="U438" s="28">
        <f t="shared" si="291"/>
        <v>8.6202359888573108E-38</v>
      </c>
      <c r="V438" s="28">
        <f t="shared" si="291"/>
        <v>2.7696214379335841E-38</v>
      </c>
      <c r="W438" s="28">
        <f t="shared" si="291"/>
        <v>2.3993868960520428E-38</v>
      </c>
      <c r="X438" s="28">
        <f t="shared" si="291"/>
        <v>1.1671615521191968E-37</v>
      </c>
      <c r="Y438" s="28">
        <f t="shared" si="291"/>
        <v>1.047863555074318E-37</v>
      </c>
      <c r="Z438" s="28">
        <f t="shared" si="291"/>
        <v>7.4175135236070224E-38</v>
      </c>
      <c r="AA438" s="28">
        <f t="shared" si="291"/>
        <v>4.0126459298724254E-31</v>
      </c>
      <c r="AB438" s="28">
        <f t="shared" si="291"/>
        <v>6.0822289331185929E-31</v>
      </c>
      <c r="AC438" s="28">
        <f t="shared" si="291"/>
        <v>1.3276427985616388E-31</v>
      </c>
      <c r="AD438" s="28">
        <f t="shared" si="291"/>
        <v>7.9887003552659769E-31</v>
      </c>
      <c r="AE438" s="28">
        <f t="shared" si="291"/>
        <v>6.4575688502970254E-31</v>
      </c>
      <c r="AF438" s="28">
        <f t="shared" si="291"/>
        <v>6.7344744766448035E-31</v>
      </c>
      <c r="AG438" s="28"/>
    </row>
    <row r="439" spans="1:33" x14ac:dyDescent="0.2">
      <c r="A439" s="198" t="s">
        <v>155</v>
      </c>
      <c r="B439" s="212"/>
      <c r="C439" s="79">
        <f>C291*C304</f>
        <v>0.86115366949626537</v>
      </c>
      <c r="D439" s="79">
        <f t="shared" ref="D439:AF439" si="292">D291*D304</f>
        <v>0.86115366949626537</v>
      </c>
      <c r="E439" s="79">
        <f t="shared" si="292"/>
        <v>0.86115366949626537</v>
      </c>
      <c r="F439" s="79">
        <f t="shared" si="292"/>
        <v>0.86115366949626537</v>
      </c>
      <c r="G439" s="79">
        <f t="shared" si="292"/>
        <v>0.86115366949626537</v>
      </c>
      <c r="H439" s="79">
        <f t="shared" si="292"/>
        <v>0.86115366949626537</v>
      </c>
      <c r="I439" s="79">
        <f t="shared" si="292"/>
        <v>0.86115366949626537</v>
      </c>
      <c r="J439" s="79">
        <f t="shared" si="292"/>
        <v>0.86115366949626537</v>
      </c>
      <c r="K439" s="79">
        <f t="shared" si="292"/>
        <v>0.86115366949626537</v>
      </c>
      <c r="L439" s="79">
        <f t="shared" si="292"/>
        <v>0.86115366949626537</v>
      </c>
      <c r="M439" s="79">
        <f t="shared" si="292"/>
        <v>0.86115366949626537</v>
      </c>
      <c r="N439" s="79">
        <f t="shared" si="292"/>
        <v>0.86115366949626537</v>
      </c>
      <c r="O439" s="79">
        <f t="shared" si="292"/>
        <v>0.86115366949626537</v>
      </c>
      <c r="P439" s="79">
        <f t="shared" si="292"/>
        <v>0.86115366949626537</v>
      </c>
      <c r="Q439" s="79">
        <f t="shared" si="292"/>
        <v>0.86115366949626537</v>
      </c>
      <c r="R439" s="79">
        <f t="shared" si="292"/>
        <v>0.86115366949626537</v>
      </c>
      <c r="S439" s="79">
        <f t="shared" si="292"/>
        <v>0.86115366949626537</v>
      </c>
      <c r="T439" s="79">
        <f t="shared" si="292"/>
        <v>0.86115366949626537</v>
      </c>
      <c r="U439" s="79">
        <f t="shared" si="292"/>
        <v>0.86115366949626537</v>
      </c>
      <c r="V439" s="79">
        <f t="shared" si="292"/>
        <v>0.86115366949626537</v>
      </c>
      <c r="W439" s="79">
        <f t="shared" si="292"/>
        <v>0.86115366949626537</v>
      </c>
      <c r="X439" s="79">
        <f t="shared" si="292"/>
        <v>0.86115366949626537</v>
      </c>
      <c r="Y439" s="79">
        <f t="shared" si="292"/>
        <v>0.86115366949626537</v>
      </c>
      <c r="Z439" s="79">
        <f t="shared" si="292"/>
        <v>0.86115366949626537</v>
      </c>
      <c r="AA439" s="79">
        <f t="shared" si="292"/>
        <v>0.86115366949626537</v>
      </c>
      <c r="AB439" s="79">
        <f t="shared" si="292"/>
        <v>0.86115366949626537</v>
      </c>
      <c r="AC439" s="79">
        <f t="shared" si="292"/>
        <v>0.86115366949626537</v>
      </c>
      <c r="AD439" s="79">
        <f t="shared" si="292"/>
        <v>0.86115366949626537</v>
      </c>
      <c r="AE439" s="79">
        <f t="shared" si="292"/>
        <v>0.86115366949626537</v>
      </c>
      <c r="AF439" s="79">
        <f t="shared" si="292"/>
        <v>0.86115366949626537</v>
      </c>
      <c r="AG439" s="30"/>
    </row>
    <row r="440" spans="1:33" x14ac:dyDescent="0.2">
      <c r="A440" s="44" t="s">
        <v>165</v>
      </c>
      <c r="B440" s="64"/>
      <c r="C440" s="28">
        <f t="shared" ref="C440:AF440" si="293">C439*(C278^2)</f>
        <v>1.9534875271710265E-32</v>
      </c>
      <c r="D440" s="28">
        <f t="shared" si="293"/>
        <v>1.9534875271710265E-32</v>
      </c>
      <c r="E440" s="28">
        <f t="shared" si="293"/>
        <v>1.9534875271710265E-32</v>
      </c>
      <c r="F440" s="28">
        <f t="shared" si="293"/>
        <v>1.9534875271710265E-32</v>
      </c>
      <c r="G440" s="28">
        <f t="shared" si="293"/>
        <v>1.9534875271710265E-32</v>
      </c>
      <c r="H440" s="28">
        <f t="shared" si="293"/>
        <v>1.9534875271710265E-32</v>
      </c>
      <c r="I440" s="28">
        <f t="shared" si="293"/>
        <v>1.9534875271710265E-32</v>
      </c>
      <c r="J440" s="28">
        <f t="shared" si="293"/>
        <v>1.9534875271710265E-32</v>
      </c>
      <c r="K440" s="28">
        <f t="shared" si="293"/>
        <v>8.7796525230064107E-33</v>
      </c>
      <c r="L440" s="28">
        <f t="shared" si="293"/>
        <v>1.2939735523304495E-32</v>
      </c>
      <c r="M440" s="28">
        <f t="shared" si="293"/>
        <v>1.2439347547916316E-32</v>
      </c>
      <c r="N440" s="28">
        <f t="shared" si="293"/>
        <v>1.7164069011725772E-32</v>
      </c>
      <c r="O440" s="28">
        <f t="shared" si="293"/>
        <v>9.1633694197846569E-33</v>
      </c>
      <c r="P440" s="28">
        <f t="shared" si="293"/>
        <v>8.1199197403961313E-33</v>
      </c>
      <c r="Q440" s="28">
        <f t="shared" si="293"/>
        <v>4.8835607529099138E-33</v>
      </c>
      <c r="R440" s="28">
        <f t="shared" si="293"/>
        <v>1.818818891577926E-32</v>
      </c>
      <c r="S440" s="28">
        <f t="shared" si="293"/>
        <v>1.9534875271710265E-32</v>
      </c>
      <c r="T440" s="28">
        <f t="shared" si="293"/>
        <v>1.9534875271710265E-32</v>
      </c>
      <c r="U440" s="28">
        <f t="shared" si="293"/>
        <v>1.9534875271710265E-32</v>
      </c>
      <c r="V440" s="28">
        <f t="shared" si="293"/>
        <v>8.9397218384443205E-33</v>
      </c>
      <c r="W440" s="28">
        <f t="shared" si="293"/>
        <v>1.588712618740209E-32</v>
      </c>
      <c r="X440" s="28">
        <f t="shared" si="293"/>
        <v>1.4540334395749298E-32</v>
      </c>
      <c r="Y440" s="28">
        <f t="shared" si="293"/>
        <v>1.9534875271710265E-32</v>
      </c>
      <c r="Z440" s="28">
        <f t="shared" si="293"/>
        <v>1.9534875271710265E-32</v>
      </c>
      <c r="AA440" s="28">
        <f t="shared" si="293"/>
        <v>1.9534875271710265E-32</v>
      </c>
      <c r="AB440" s="28">
        <f t="shared" si="293"/>
        <v>1.9534875271710265E-32</v>
      </c>
      <c r="AC440" s="28">
        <f t="shared" si="293"/>
        <v>1.9534875271710265E-32</v>
      </c>
      <c r="AD440" s="28">
        <f t="shared" si="293"/>
        <v>1.9534875271710265E-32</v>
      </c>
      <c r="AE440" s="28">
        <f t="shared" si="293"/>
        <v>1.9534875271710265E-32</v>
      </c>
      <c r="AF440" s="28">
        <f t="shared" si="293"/>
        <v>1.9534875271710265E-32</v>
      </c>
      <c r="AG440" s="28"/>
    </row>
    <row r="441" spans="1:33" x14ac:dyDescent="0.2">
      <c r="A441" s="31" t="s">
        <v>166</v>
      </c>
      <c r="B441" s="212"/>
      <c r="C441" s="79">
        <f t="shared" ref="C441:AF441" si="294">C434+C436+C438+C440</f>
        <v>1.9569470682577537E-32</v>
      </c>
      <c r="D441" s="79">
        <f t="shared" si="294"/>
        <v>1.9551258562956538E-32</v>
      </c>
      <c r="E441" s="79">
        <f t="shared" si="294"/>
        <v>1.955290416439537E-32</v>
      </c>
      <c r="F441" s="79">
        <f t="shared" si="294"/>
        <v>1.9662672325829457E-32</v>
      </c>
      <c r="G441" s="79">
        <f t="shared" si="294"/>
        <v>1.9670853943027616E-32</v>
      </c>
      <c r="H441" s="79">
        <f t="shared" si="294"/>
        <v>1.9566015611173584E-32</v>
      </c>
      <c r="I441" s="79">
        <f t="shared" si="294"/>
        <v>1.9562006064077518E-32</v>
      </c>
      <c r="J441" s="79">
        <f t="shared" si="294"/>
        <v>1.955414517501415E-32</v>
      </c>
      <c r="K441" s="79">
        <f t="shared" si="294"/>
        <v>8.8306813178077089E-33</v>
      </c>
      <c r="L441" s="79">
        <f t="shared" si="294"/>
        <v>1.2967513829874847E-32</v>
      </c>
      <c r="M441" s="79">
        <f t="shared" si="294"/>
        <v>1.2465151783450709E-32</v>
      </c>
      <c r="N441" s="79">
        <f t="shared" si="294"/>
        <v>1.7220037106039141E-32</v>
      </c>
      <c r="O441" s="79">
        <f t="shared" si="294"/>
        <v>9.1681339537488522E-33</v>
      </c>
      <c r="P441" s="79">
        <f t="shared" si="294"/>
        <v>8.1372579212696822E-33</v>
      </c>
      <c r="Q441" s="79">
        <f t="shared" si="294"/>
        <v>4.8852189215598955E-33</v>
      </c>
      <c r="R441" s="79">
        <f t="shared" si="294"/>
        <v>1.8188639157569049E-32</v>
      </c>
      <c r="S441" s="79">
        <f t="shared" si="294"/>
        <v>1.9535659990660648E-32</v>
      </c>
      <c r="T441" s="79">
        <f t="shared" si="294"/>
        <v>1.9535412369093856E-32</v>
      </c>
      <c r="U441" s="79">
        <f t="shared" si="294"/>
        <v>1.95353139265556E-32</v>
      </c>
      <c r="V441" s="79">
        <f t="shared" si="294"/>
        <v>8.9399801091815558E-33</v>
      </c>
      <c r="W441" s="79">
        <f t="shared" si="294"/>
        <v>1.5887249423715774E-32</v>
      </c>
      <c r="X441" s="79">
        <f t="shared" si="294"/>
        <v>1.4540694403361026E-32</v>
      </c>
      <c r="Y441" s="79">
        <f t="shared" si="294"/>
        <v>1.9535427361455288E-32</v>
      </c>
      <c r="Z441" s="79">
        <f t="shared" si="294"/>
        <v>1.9535376049353931E-32</v>
      </c>
      <c r="AA441" s="79">
        <f t="shared" si="294"/>
        <v>5.2088750795083862E-31</v>
      </c>
      <c r="AB441" s="79">
        <f t="shared" si="294"/>
        <v>1.0246982214668731E-30</v>
      </c>
      <c r="AC441" s="79">
        <f t="shared" si="294"/>
        <v>1.6582838847057777E-31</v>
      </c>
      <c r="AD441" s="79">
        <f t="shared" si="294"/>
        <v>9.4141897835012367E-31</v>
      </c>
      <c r="AE441" s="79">
        <f t="shared" si="294"/>
        <v>8.897483727344273E-31</v>
      </c>
      <c r="AF441" s="79">
        <f t="shared" si="294"/>
        <v>8.0925804429871048E-31</v>
      </c>
      <c r="AG441" s="30"/>
    </row>
    <row r="442" spans="1:33" x14ac:dyDescent="0.2">
      <c r="A442" s="198" t="s">
        <v>156</v>
      </c>
      <c r="B442" s="235"/>
      <c r="C442" s="43">
        <f>C121*C118</f>
        <v>1.5137908672668999E-28</v>
      </c>
      <c r="D442" s="43">
        <f t="shared" ref="D442:AF442" si="295">D121*D118</f>
        <v>2.1091481245776308E-29</v>
      </c>
      <c r="E442" s="43">
        <f t="shared" si="295"/>
        <v>5.8500603278577578E-29</v>
      </c>
      <c r="F442" s="43">
        <f t="shared" si="295"/>
        <v>5.4864077002906603E-28</v>
      </c>
      <c r="G442" s="43">
        <f t="shared" si="295"/>
        <v>4.7544776117929404E-28</v>
      </c>
      <c r="H442" s="43">
        <f t="shared" si="295"/>
        <v>1.040992784308834E-28</v>
      </c>
      <c r="I442" s="43">
        <f t="shared" si="295"/>
        <v>7.7883399531332895E-29</v>
      </c>
      <c r="J442" s="43">
        <f t="shared" si="295"/>
        <v>7.2606903977022107E-29</v>
      </c>
      <c r="K442" s="43">
        <f t="shared" si="295"/>
        <v>2.4841697355934967E-28</v>
      </c>
      <c r="L442" s="43">
        <f t="shared" si="295"/>
        <v>1.2518221349777685E-28</v>
      </c>
      <c r="M442" s="43">
        <f t="shared" si="295"/>
        <v>1.0678573781943175E-28</v>
      </c>
      <c r="N442" s="43">
        <f t="shared" si="295"/>
        <v>2.6011951011469785E-28</v>
      </c>
      <c r="O442" s="43">
        <f t="shared" si="295"/>
        <v>1.7635648534156066E-29</v>
      </c>
      <c r="P442" s="43">
        <f t="shared" si="295"/>
        <v>7.5481093382016172E-29</v>
      </c>
      <c r="Q442" s="43">
        <f t="shared" si="295"/>
        <v>2.7966934369900905E-30</v>
      </c>
      <c r="R442" s="43">
        <f t="shared" si="295"/>
        <v>2.6739774120828175E-30</v>
      </c>
      <c r="S442" s="43">
        <f t="shared" si="295"/>
        <v>2.5889535297600297E-30</v>
      </c>
      <c r="T442" s="43">
        <f t="shared" si="295"/>
        <v>2.7211815348533326E-30</v>
      </c>
      <c r="U442" s="43">
        <f t="shared" si="295"/>
        <v>1.2098618861585241E-30</v>
      </c>
      <c r="V442" s="43">
        <f t="shared" si="295"/>
        <v>1.6225375275837303E-31</v>
      </c>
      <c r="W442" s="43">
        <f t="shared" si="295"/>
        <v>1.2151979466572164E-31</v>
      </c>
      <c r="X442" s="43">
        <f t="shared" si="295"/>
        <v>2.3076302867209009E-30</v>
      </c>
      <c r="Y442" s="43">
        <f t="shared" si="295"/>
        <v>1.3151616433897657E-30</v>
      </c>
      <c r="Z442" s="43">
        <f t="shared" si="295"/>
        <v>8.1774412850418044E-31</v>
      </c>
      <c r="AA442" s="43">
        <f t="shared" si="295"/>
        <v>5.0243656848988867E-24</v>
      </c>
      <c r="AB442" s="43">
        <f t="shared" si="295"/>
        <v>7.6174011888809256E-24</v>
      </c>
      <c r="AC442" s="43">
        <f t="shared" si="295"/>
        <v>1.6607019084043062E-24</v>
      </c>
      <c r="AD442" s="43">
        <f t="shared" si="295"/>
        <v>1.0006517660274537E-23</v>
      </c>
      <c r="AE442" s="43">
        <f t="shared" si="295"/>
        <v>8.0891742053633256E-24</v>
      </c>
      <c r="AF442" s="43">
        <f t="shared" si="295"/>
        <v>8.4341403472508409E-24</v>
      </c>
      <c r="AG442" s="43"/>
    </row>
    <row r="443" spans="1:33" x14ac:dyDescent="0.2">
      <c r="A443" s="198" t="s">
        <v>486</v>
      </c>
      <c r="B443" s="235"/>
      <c r="C443" s="43">
        <f>(C122/C121)^2</f>
        <v>4.1195387256670694E-4</v>
      </c>
      <c r="D443" s="43">
        <f t="shared" ref="D443:AF443" si="296">(D122/D121)^2</f>
        <v>1.1650587679268255E-3</v>
      </c>
      <c r="E443" s="43">
        <f t="shared" si="296"/>
        <v>4.3503836295430106E-4</v>
      </c>
      <c r="F443" s="43">
        <f t="shared" si="296"/>
        <v>4.1213774453178833E-5</v>
      </c>
      <c r="G443" s="43">
        <f t="shared" si="296"/>
        <v>5.1310807362073472E-5</v>
      </c>
      <c r="H443" s="43">
        <f t="shared" si="296"/>
        <v>2.3046730017059171E-4</v>
      </c>
      <c r="I443" s="43">
        <f t="shared" si="296"/>
        <v>3.5454810170164005E-4</v>
      </c>
      <c r="J443" s="43">
        <f t="shared" si="296"/>
        <v>3.6317105633769522E-4</v>
      </c>
      <c r="K443" s="43">
        <f t="shared" si="296"/>
        <v>6.4632346476158574E-4</v>
      </c>
      <c r="L443" s="43">
        <f t="shared" si="296"/>
        <v>1.8890700327277229E-3</v>
      </c>
      <c r="M443" s="43">
        <f t="shared" si="296"/>
        <v>2.1295744672747479E-3</v>
      </c>
      <c r="N443" s="43">
        <f t="shared" si="296"/>
        <v>1.2075239556486165E-3</v>
      </c>
      <c r="O443" s="43">
        <f t="shared" si="296"/>
        <v>9.509849741164797E-3</v>
      </c>
      <c r="P443" s="43">
        <f t="shared" si="296"/>
        <v>1.975682474867299E-3</v>
      </c>
      <c r="Q443" s="43">
        <f t="shared" si="296"/>
        <v>3.2411670952684608E-2</v>
      </c>
      <c r="R443" s="43">
        <f t="shared" si="296"/>
        <v>0.12889748599499357</v>
      </c>
      <c r="S443" s="43">
        <f t="shared" si="296"/>
        <v>0.13784976112655639</v>
      </c>
      <c r="T443" s="43">
        <f t="shared" si="296"/>
        <v>0.10155062257485621</v>
      </c>
      <c r="U443" s="43">
        <f t="shared" si="296"/>
        <v>0.17172013215646761</v>
      </c>
      <c r="V443" s="43">
        <f t="shared" si="296"/>
        <v>1.067839124646512</v>
      </c>
      <c r="W443" s="43">
        <f t="shared" si="296"/>
        <v>2.5217053721508087</v>
      </c>
      <c r="X443" s="43">
        <f t="shared" si="296"/>
        <v>0.11581015463894966</v>
      </c>
      <c r="Y443" s="43">
        <f t="shared" si="296"/>
        <v>0.21326941286773871</v>
      </c>
      <c r="Z443" s="43">
        <f t="shared" si="296"/>
        <v>0.42260653038414286</v>
      </c>
      <c r="AA443" s="43">
        <f t="shared" si="296"/>
        <v>2.0330275678246865E-7</v>
      </c>
      <c r="AB443" s="43">
        <f t="shared" si="296"/>
        <v>2.311339600912877E-7</v>
      </c>
      <c r="AC443" s="43">
        <f t="shared" si="296"/>
        <v>2.2729468346715536E-7</v>
      </c>
      <c r="AD443" s="43">
        <f t="shared" si="296"/>
        <v>1.8155712987781127E-7</v>
      </c>
      <c r="AE443" s="43">
        <f t="shared" si="296"/>
        <v>2.066018430134431E-7</v>
      </c>
      <c r="AF443" s="43">
        <f t="shared" si="296"/>
        <v>1.8489135248639847E-7</v>
      </c>
      <c r="AG443" s="43"/>
    </row>
    <row r="444" spans="1:33" x14ac:dyDescent="0.2">
      <c r="A444" s="198" t="s">
        <v>482</v>
      </c>
      <c r="B444" s="235"/>
      <c r="C444" s="43">
        <f>(C119/C118)^2</f>
        <v>4.0587371739488539E-5</v>
      </c>
      <c r="D444" s="43">
        <f t="shared" ref="D444:AF444" si="297">(D119/D118)^2</f>
        <v>7.3764625617344726E-4</v>
      </c>
      <c r="E444" s="43">
        <f t="shared" si="297"/>
        <v>2.568731895038974E-4</v>
      </c>
      <c r="F444" s="43">
        <f t="shared" si="297"/>
        <v>3.12421625932889E-5</v>
      </c>
      <c r="G444" s="43">
        <f t="shared" si="297"/>
        <v>3.3396260002993653E-5</v>
      </c>
      <c r="H444" s="43">
        <f t="shared" si="297"/>
        <v>1.5337308931845392E-4</v>
      </c>
      <c r="I444" s="43">
        <f t="shared" si="297"/>
        <v>1.7797944567601474E-4</v>
      </c>
      <c r="J444" s="43">
        <f t="shared" si="297"/>
        <v>1.9974996337361641E-4</v>
      </c>
      <c r="K444" s="43">
        <f t="shared" si="297"/>
        <v>2.0291390495067788E-6</v>
      </c>
      <c r="L444" s="43">
        <f t="shared" si="297"/>
        <v>5.7557679069420483E-6</v>
      </c>
      <c r="M444" s="43">
        <f t="shared" si="297"/>
        <v>6.4867371879790655E-6</v>
      </c>
      <c r="N444" s="43">
        <f t="shared" si="297"/>
        <v>3.7054484995598375E-6</v>
      </c>
      <c r="O444" s="43">
        <f t="shared" si="297"/>
        <v>2.8495494817578036E-5</v>
      </c>
      <c r="P444" s="43">
        <f t="shared" si="297"/>
        <v>5.9629401725357015E-6</v>
      </c>
      <c r="Q444" s="43">
        <f t="shared" si="297"/>
        <v>9.4331170501427337E-5</v>
      </c>
      <c r="R444" s="43">
        <f t="shared" si="297"/>
        <v>3.590169500168661E-4</v>
      </c>
      <c r="S444" s="43">
        <f t="shared" si="297"/>
        <v>4.1316137944069631E-4</v>
      </c>
      <c r="T444" s="43">
        <f t="shared" si="297"/>
        <v>5.0759423927943794E-4</v>
      </c>
      <c r="U444" s="43">
        <f t="shared" si="297"/>
        <v>1.5184223345435027E-3</v>
      </c>
      <c r="V444" s="43">
        <f t="shared" si="297"/>
        <v>2.8433141125844869E-3</v>
      </c>
      <c r="W444" s="43">
        <f t="shared" si="297"/>
        <v>6.7784170576241304E-3</v>
      </c>
      <c r="X444" s="43">
        <f t="shared" si="297"/>
        <v>3.4289541369771873E-4</v>
      </c>
      <c r="Y444" s="43">
        <f t="shared" si="297"/>
        <v>1.0347038078241133E-3</v>
      </c>
      <c r="Z444" s="43">
        <f t="shared" si="297"/>
        <v>1.3505997724111776E-3</v>
      </c>
      <c r="AA444" s="43">
        <f t="shared" si="297"/>
        <v>6.0619813317477404E-8</v>
      </c>
      <c r="AB444" s="43">
        <f t="shared" si="297"/>
        <v>9.2520808041251673E-8</v>
      </c>
      <c r="AC444" s="43">
        <f t="shared" si="297"/>
        <v>5.0443731255370615E-8</v>
      </c>
      <c r="AD444" s="43">
        <f t="shared" si="297"/>
        <v>5.2610277917042349E-8</v>
      </c>
      <c r="AE444" s="43">
        <f t="shared" si="297"/>
        <v>6.814773382975732E-8</v>
      </c>
      <c r="AF444" s="43">
        <f t="shared" si="297"/>
        <v>5.4176511762853055E-8</v>
      </c>
      <c r="AG444" s="43"/>
    </row>
    <row r="445" spans="1:33" x14ac:dyDescent="0.2">
      <c r="A445" s="41" t="s">
        <v>157</v>
      </c>
      <c r="B445" s="44"/>
      <c r="C445" s="81"/>
      <c r="D445" s="81"/>
      <c r="E445" s="81"/>
      <c r="F445" s="81"/>
      <c r="G445" s="81"/>
      <c r="H445" s="81"/>
      <c r="I445" s="81"/>
      <c r="J445" s="81"/>
      <c r="K445" s="81"/>
      <c r="L445" s="81"/>
      <c r="M445" s="81"/>
      <c r="N445" s="81"/>
      <c r="O445" s="81"/>
      <c r="P445" s="81"/>
      <c r="Q445" s="81"/>
      <c r="R445" s="81"/>
      <c r="S445" s="81"/>
      <c r="T445" s="81"/>
      <c r="U445" s="81"/>
      <c r="V445" s="81"/>
      <c r="W445" s="81"/>
      <c r="X445" s="81"/>
      <c r="Y445" s="81"/>
      <c r="Z445" s="81"/>
      <c r="AA445" s="81"/>
      <c r="AB445" s="81"/>
      <c r="AC445" s="81"/>
      <c r="AD445" s="81"/>
      <c r="AE445" s="81"/>
      <c r="AF445" s="81"/>
      <c r="AG445" s="40"/>
    </row>
    <row r="446" spans="1:33" x14ac:dyDescent="0.2">
      <c r="A446" s="198" t="s">
        <v>158</v>
      </c>
      <c r="B446" s="212"/>
      <c r="C446" s="79">
        <f>(1+C222-C185*C14*(1-C222))*C172</f>
        <v>6.9637883672012281E-14</v>
      </c>
      <c r="D446" s="79">
        <f t="shared" ref="D446:AF446" si="298">(1+D222-D185*D14*(1-D222))*D172</f>
        <v>1.2803448382227302E-14</v>
      </c>
      <c r="E446" s="79">
        <f t="shared" si="298"/>
        <v>1.6072226682624579E-14</v>
      </c>
      <c r="F446" s="79">
        <f t="shared" si="298"/>
        <v>9.8619894257548255E-15</v>
      </c>
      <c r="G446" s="79">
        <f t="shared" si="298"/>
        <v>2.0989600976187899E-14</v>
      </c>
      <c r="H446" s="79">
        <f t="shared" si="298"/>
        <v>1.5249716652660812E-14</v>
      </c>
      <c r="I446" s="79">
        <f t="shared" si="298"/>
        <v>1.9778484376254618E-14</v>
      </c>
      <c r="J446" s="79">
        <f t="shared" si="298"/>
        <v>1.9263223859609108E-14</v>
      </c>
      <c r="K446" s="79">
        <f t="shared" si="298"/>
        <v>1.3075921627367814E-13</v>
      </c>
      <c r="L446" s="79">
        <f t="shared" si="298"/>
        <v>9.4707696680920657E-14</v>
      </c>
      <c r="M446" s="79">
        <f t="shared" si="298"/>
        <v>7.8899924101252189E-14</v>
      </c>
      <c r="N446" s="79">
        <f t="shared" si="298"/>
        <v>1.157061711011314E-13</v>
      </c>
      <c r="O446" s="79">
        <f t="shared" si="298"/>
        <v>5.1590660493215432E-14</v>
      </c>
      <c r="P446" s="79">
        <f t="shared" si="298"/>
        <v>7.7909509327672839E-14</v>
      </c>
      <c r="Q446" s="79">
        <f t="shared" si="298"/>
        <v>8.9461721605941294E-14</v>
      </c>
      <c r="R446" s="79">
        <f t="shared" si="298"/>
        <v>4.8411143250292951E-14</v>
      </c>
      <c r="S446" s="79">
        <f t="shared" si="298"/>
        <v>4.9837856369127707E-14</v>
      </c>
      <c r="T446" s="79">
        <f t="shared" si="298"/>
        <v>6.9081634610863987E-14</v>
      </c>
      <c r="U446" s="79">
        <f t="shared" si="298"/>
        <v>5.6900833991458256E-14</v>
      </c>
      <c r="V446" s="79">
        <f t="shared" si="298"/>
        <v>5.3752840736574925E-14</v>
      </c>
      <c r="W446" s="79">
        <f t="shared" si="298"/>
        <v>6.7898022911329525E-14</v>
      </c>
      <c r="X446" s="79">
        <f t="shared" si="298"/>
        <v>4.5682002604650335E-14</v>
      </c>
      <c r="Y446" s="79">
        <f t="shared" si="298"/>
        <v>3.4900647549039717E-14</v>
      </c>
      <c r="Z446" s="79">
        <f t="shared" si="298"/>
        <v>6.9529062395350933E-14</v>
      </c>
      <c r="AA446" s="79">
        <f t="shared" si="298"/>
        <v>1.2815471222437956E-13</v>
      </c>
      <c r="AB446" s="79">
        <f t="shared" si="298"/>
        <v>1.3506995576379246E-13</v>
      </c>
      <c r="AC446" s="79">
        <f t="shared" si="298"/>
        <v>1.3504596989987928E-13</v>
      </c>
      <c r="AD446" s="79">
        <f t="shared" si="298"/>
        <v>1.3306169801206586E-13</v>
      </c>
      <c r="AE446" s="79">
        <f t="shared" si="298"/>
        <v>8.8709433948753093E-14</v>
      </c>
      <c r="AF446" s="79">
        <f t="shared" si="298"/>
        <v>1.537113485983466E-13</v>
      </c>
      <c r="AG446" s="30"/>
    </row>
    <row r="447" spans="1:33" x14ac:dyDescent="0.2">
      <c r="A447" s="44" t="s">
        <v>479</v>
      </c>
      <c r="B447" s="64"/>
      <c r="C447" s="28">
        <f t="shared" ref="C447:AF447" si="299">C446*C248</f>
        <v>1.901807389362736E-18</v>
      </c>
      <c r="D447" s="28">
        <f t="shared" si="299"/>
        <v>5.6425288589254684E-19</v>
      </c>
      <c r="E447" s="28">
        <f t="shared" si="299"/>
        <v>5.215747812775855E-19</v>
      </c>
      <c r="F447" s="28">
        <f t="shared" si="299"/>
        <v>5.5402928708792161E-19</v>
      </c>
      <c r="G447" s="28">
        <f t="shared" si="299"/>
        <v>1.2868530655549093E-18</v>
      </c>
      <c r="H447" s="28">
        <f t="shared" si="299"/>
        <v>5.3014583279729504E-19</v>
      </c>
      <c r="I447" s="28">
        <f t="shared" si="299"/>
        <v>1.0504466918702898E-18</v>
      </c>
      <c r="J447" s="28">
        <f t="shared" si="299"/>
        <v>5.1038767200973124E-19</v>
      </c>
      <c r="K447" s="28">
        <f t="shared" si="299"/>
        <v>4.5458912934148974E-18</v>
      </c>
      <c r="L447" s="28">
        <f t="shared" si="299"/>
        <v>3.9241114347536823E-18</v>
      </c>
      <c r="M447" s="28">
        <f t="shared" si="299"/>
        <v>6.8170836514575414E-18</v>
      </c>
      <c r="N447" s="28">
        <f t="shared" si="299"/>
        <v>5.9091090840051259E-18</v>
      </c>
      <c r="O447" s="28">
        <f t="shared" si="299"/>
        <v>1.7498045832863669E-18</v>
      </c>
      <c r="P447" s="28">
        <f t="shared" si="299"/>
        <v>4.2940706644216852E-18</v>
      </c>
      <c r="Q447" s="28">
        <f t="shared" si="299"/>
        <v>2.8008182412223591E-18</v>
      </c>
      <c r="R447" s="28">
        <f t="shared" si="299"/>
        <v>1.5214071007048795E-18</v>
      </c>
      <c r="S447" s="28">
        <f t="shared" si="299"/>
        <v>2.1700746948404263E-18</v>
      </c>
      <c r="T447" s="28">
        <f t="shared" si="299"/>
        <v>1.5300090044084858E-18</v>
      </c>
      <c r="U447" s="28">
        <f t="shared" si="299"/>
        <v>1.0651853404952694E-18</v>
      </c>
      <c r="V447" s="28">
        <f t="shared" si="299"/>
        <v>8.06924884931439E-19</v>
      </c>
      <c r="W447" s="28">
        <f t="shared" si="299"/>
        <v>3.9752090109320235E-19</v>
      </c>
      <c r="X447" s="28">
        <f t="shared" si="299"/>
        <v>1.3809877082656461E-18</v>
      </c>
      <c r="Y447" s="28">
        <f t="shared" si="299"/>
        <v>1.4452321531828597E-18</v>
      </c>
      <c r="Z447" s="28">
        <f t="shared" si="299"/>
        <v>1.3432478433858968E-18</v>
      </c>
      <c r="AA447" s="28">
        <f t="shared" si="299"/>
        <v>7.607788743618996E-16</v>
      </c>
      <c r="AB447" s="28">
        <f t="shared" si="299"/>
        <v>1.5148591692069904E-15</v>
      </c>
      <c r="AC447" s="28">
        <f t="shared" si="299"/>
        <v>2.7952580541920576E-16</v>
      </c>
      <c r="AD447" s="28">
        <f t="shared" si="299"/>
        <v>8.4251944697019069E-16</v>
      </c>
      <c r="AE447" s="28">
        <f t="shared" si="299"/>
        <v>1.1388299813974458E-15</v>
      </c>
      <c r="AF447" s="28">
        <f t="shared" si="299"/>
        <v>8.1837388985822366E-16</v>
      </c>
      <c r="AG447" s="28"/>
    </row>
    <row r="448" spans="1:33" x14ac:dyDescent="0.2">
      <c r="A448" s="198" t="s">
        <v>226</v>
      </c>
      <c r="B448" s="212"/>
      <c r="C448" s="79">
        <f>-C185*C12*(1-C222)*C172</f>
        <v>-4.5741427212674039E-13</v>
      </c>
      <c r="D448" s="79">
        <f t="shared" ref="D448:AF448" si="300">-D185*D12*(1-D222)*D172</f>
        <v>-1.2087302894496532E-13</v>
      </c>
      <c r="E448" s="79">
        <f t="shared" si="300"/>
        <v>-1.9172717156007856E-13</v>
      </c>
      <c r="F448" s="79">
        <f t="shared" si="300"/>
        <v>-5.1852461633337027E-13</v>
      </c>
      <c r="G448" s="79">
        <f t="shared" si="300"/>
        <v>-5.0492965650720163E-13</v>
      </c>
      <c r="H448" s="79">
        <f t="shared" si="300"/>
        <v>-2.4437444492607856E-13</v>
      </c>
      <c r="I448" s="79">
        <f t="shared" si="300"/>
        <v>-2.2628069867013826E-13</v>
      </c>
      <c r="J448" s="79">
        <f t="shared" si="300"/>
        <v>-2.1520445795284139E-13</v>
      </c>
      <c r="K448" s="79">
        <f t="shared" si="300"/>
        <v>-1.3525387991957851E-12</v>
      </c>
      <c r="L448" s="79">
        <f t="shared" si="300"/>
        <v>-9.6383812883884383E-13</v>
      </c>
      <c r="M448" s="79">
        <f t="shared" si="300"/>
        <v>-8.9081549630308232E-13</v>
      </c>
      <c r="N448" s="79">
        <f t="shared" si="300"/>
        <v>-1.3873554203036744E-12</v>
      </c>
      <c r="O448" s="79">
        <f t="shared" si="300"/>
        <v>-3.6645664269795638E-13</v>
      </c>
      <c r="P448" s="79">
        <f t="shared" si="300"/>
        <v>-7.5044604381804907E-13</v>
      </c>
      <c r="Q448" s="79">
        <f t="shared" si="300"/>
        <v>-1.5012613048361848E-13</v>
      </c>
      <c r="R448" s="79">
        <f t="shared" si="300"/>
        <v>-1.5340893805078725E-13</v>
      </c>
      <c r="S448" s="79">
        <f t="shared" si="300"/>
        <v>-1.4899453547943379E-13</v>
      </c>
      <c r="T448" s="79">
        <f t="shared" si="300"/>
        <v>-1.3604437119549864E-13</v>
      </c>
      <c r="U448" s="79">
        <f t="shared" si="300"/>
        <v>-8.3709332702820526E-14</v>
      </c>
      <c r="V448" s="79">
        <f t="shared" si="300"/>
        <v>-4.3897761261645744E-14</v>
      </c>
      <c r="W448" s="79">
        <f t="shared" si="300"/>
        <v>-4.2061920463062261E-14</v>
      </c>
      <c r="X448" s="79">
        <f t="shared" si="300"/>
        <v>-1.4041352527048013E-13</v>
      </c>
      <c r="Y448" s="79">
        <f t="shared" si="300"/>
        <v>-9.8428189939307592E-14</v>
      </c>
      <c r="Z448" s="79">
        <f t="shared" si="300"/>
        <v>-8.8197452225463272E-14</v>
      </c>
      <c r="AA448" s="79">
        <f t="shared" si="300"/>
        <v>-1.0000721857186441E-10</v>
      </c>
      <c r="AB448" s="79">
        <f t="shared" si="300"/>
        <v>-1.2309560618841805E-10</v>
      </c>
      <c r="AC448" s="79">
        <f t="shared" si="300"/>
        <v>-5.7491667391242619E-11</v>
      </c>
      <c r="AD448" s="79">
        <f t="shared" si="300"/>
        <v>-1.40981172205292E-10</v>
      </c>
      <c r="AE448" s="79">
        <f t="shared" si="300"/>
        <v>-1.2683516927823649E-10</v>
      </c>
      <c r="AF448" s="79">
        <f t="shared" si="300"/>
        <v>-1.2936523316305456E-10</v>
      </c>
      <c r="AG448" s="30"/>
    </row>
    <row r="449" spans="1:33" x14ac:dyDescent="0.2">
      <c r="A449" s="44" t="s">
        <v>479</v>
      </c>
      <c r="B449" s="64"/>
      <c r="C449" s="28">
        <f t="shared" ref="C449:AF449" si="301">C448*C249</f>
        <v>-4.8692683340454786E-18</v>
      </c>
      <c r="D449" s="28">
        <f t="shared" si="301"/>
        <v>-1.2273660626362527E-17</v>
      </c>
      <c r="E449" s="28">
        <f t="shared" si="301"/>
        <v>-8.4278353428813374E-18</v>
      </c>
      <c r="F449" s="28">
        <f t="shared" si="301"/>
        <v>-1.3110396125022147E-17</v>
      </c>
      <c r="G449" s="28">
        <f t="shared" si="301"/>
        <v>-2.119755567052533E-17</v>
      </c>
      <c r="H449" s="28">
        <f t="shared" si="301"/>
        <v>-9.6583625732979801E-18</v>
      </c>
      <c r="I449" s="28">
        <f t="shared" si="301"/>
        <v>-1.0389403500631668E-17</v>
      </c>
      <c r="J449" s="28">
        <f t="shared" si="301"/>
        <v>-6.2913939462366519E-18</v>
      </c>
      <c r="K449" s="28">
        <f t="shared" si="301"/>
        <v>-1.3575976403098512E-18</v>
      </c>
      <c r="L449" s="28">
        <f t="shared" si="301"/>
        <v>-2.0045638324305316E-18</v>
      </c>
      <c r="M449" s="28">
        <f t="shared" si="301"/>
        <v>-1.568367610157784E-18</v>
      </c>
      <c r="N449" s="28">
        <f t="shared" si="301"/>
        <v>-2.1188604361528947E-18</v>
      </c>
      <c r="O449" s="28">
        <f t="shared" si="301"/>
        <v>-1.0145844756397877E-18</v>
      </c>
      <c r="P449" s="28">
        <f t="shared" si="301"/>
        <v>-1.5196926450683139E-18</v>
      </c>
      <c r="Q449" s="28">
        <f t="shared" si="301"/>
        <v>-1.6276039950270951E-18</v>
      </c>
      <c r="R449" s="28">
        <f t="shared" si="301"/>
        <v>-2.5814105560300082E-18</v>
      </c>
      <c r="S449" s="28">
        <f t="shared" si="301"/>
        <v>-2.7597801836105796E-18</v>
      </c>
      <c r="T449" s="28">
        <f t="shared" si="301"/>
        <v>-3.0833931424951867E-18</v>
      </c>
      <c r="U449" s="28">
        <f t="shared" si="301"/>
        <v>-2.1878188352506797E-18</v>
      </c>
      <c r="V449" s="28">
        <f t="shared" si="301"/>
        <v>-1.5381462105604625E-18</v>
      </c>
      <c r="W449" s="28">
        <f t="shared" si="301"/>
        <v>-1.5819652877206695E-18</v>
      </c>
      <c r="X449" s="28">
        <f t="shared" si="301"/>
        <v>-1.5304760072437089E-18</v>
      </c>
      <c r="Y449" s="28">
        <f t="shared" si="301"/>
        <v>-2.1084937088184251E-18</v>
      </c>
      <c r="Z449" s="28">
        <f t="shared" si="301"/>
        <v>-1.9928926884314918E-18</v>
      </c>
      <c r="AA449" s="28">
        <f t="shared" si="301"/>
        <v>-4.687974592755981E-18</v>
      </c>
      <c r="AB449" s="28">
        <f t="shared" si="301"/>
        <v>-6.1858424970102194E-18</v>
      </c>
      <c r="AC449" s="28">
        <f t="shared" si="301"/>
        <v>-3.9317249954323303E-18</v>
      </c>
      <c r="AD449" s="28">
        <f t="shared" si="301"/>
        <v>-6.8347606132814969E-18</v>
      </c>
      <c r="AE449" s="28">
        <f t="shared" si="301"/>
        <v>-6.0078855600360361E-18</v>
      </c>
      <c r="AF449" s="28">
        <f t="shared" si="301"/>
        <v>-9.2373331323564757E-18</v>
      </c>
      <c r="AG449" s="28"/>
    </row>
    <row r="450" spans="1:33" x14ac:dyDescent="0.2">
      <c r="A450" s="198" t="s">
        <v>227</v>
      </c>
      <c r="B450" s="212"/>
      <c r="C450" s="79">
        <f>-C172</f>
        <v>-1.0148192547653175E-13</v>
      </c>
      <c r="D450" s="79">
        <f t="shared" ref="D450:AF450" si="302">-D172</f>
        <v>-8.8673527115416085E-14</v>
      </c>
      <c r="E450" s="79">
        <f t="shared" si="302"/>
        <v>-8.276195864105501E-14</v>
      </c>
      <c r="F450" s="79">
        <f t="shared" si="302"/>
        <v>-9.4585095589777149E-14</v>
      </c>
      <c r="G450" s="79">
        <f t="shared" si="302"/>
        <v>-1.2611346078636956E-13</v>
      </c>
      <c r="H450" s="79">
        <f t="shared" si="302"/>
        <v>-1.0049666406413824E-13</v>
      </c>
      <c r="I450" s="79">
        <f t="shared" si="302"/>
        <v>-7.5865128754300432E-14</v>
      </c>
      <c r="J450" s="79">
        <f t="shared" si="302"/>
        <v>-8.4732481465842039E-14</v>
      </c>
      <c r="K450" s="79">
        <f t="shared" si="302"/>
        <v>-1.3169328057600001E-13</v>
      </c>
      <c r="L450" s="79">
        <f t="shared" si="302"/>
        <v>-9.5776931327999996E-14</v>
      </c>
      <c r="M450" s="79">
        <f t="shared" si="302"/>
        <v>-7.9814109440000008E-14</v>
      </c>
      <c r="N450" s="79">
        <f t="shared" si="302"/>
        <v>-1.1672813505600002E-13</v>
      </c>
      <c r="O450" s="79">
        <f t="shared" si="302"/>
        <v>-5.2876847504000005E-14</v>
      </c>
      <c r="P450" s="79">
        <f t="shared" si="302"/>
        <v>-7.8816433072000007E-14</v>
      </c>
      <c r="Q450" s="79">
        <f t="shared" si="302"/>
        <v>-9.4779254960000009E-14</v>
      </c>
      <c r="R450" s="79">
        <f t="shared" si="302"/>
        <v>-5.2876847504000005E-14</v>
      </c>
      <c r="S450" s="79">
        <f t="shared" si="302"/>
        <v>-5.4872200239999999E-14</v>
      </c>
      <c r="T450" s="79">
        <f t="shared" si="302"/>
        <v>-7.8816433072000007E-14</v>
      </c>
      <c r="U450" s="79">
        <f t="shared" si="302"/>
        <v>-7.1832698496000007E-14</v>
      </c>
      <c r="V450" s="79">
        <f t="shared" si="302"/>
        <v>-7.0835022128000007E-14</v>
      </c>
      <c r="W450" s="79">
        <f t="shared" si="302"/>
        <v>-1.03758342272E-13</v>
      </c>
      <c r="X450" s="79">
        <f t="shared" si="302"/>
        <v>-4.9883818400000005E-14</v>
      </c>
      <c r="Y450" s="79">
        <f t="shared" si="302"/>
        <v>-4.0904731088000004E-14</v>
      </c>
      <c r="Z450" s="79">
        <f t="shared" si="302"/>
        <v>-8.3804814911999995E-14</v>
      </c>
      <c r="AA450" s="79">
        <f t="shared" si="302"/>
        <v>-1.2808398361115656E-13</v>
      </c>
      <c r="AB450" s="79">
        <f t="shared" si="302"/>
        <v>-1.3498081349791115E-13</v>
      </c>
      <c r="AC450" s="79">
        <f t="shared" si="302"/>
        <v>-1.3498081349791115E-13</v>
      </c>
      <c r="AD450" s="79">
        <f t="shared" si="302"/>
        <v>-1.3301029067312412E-13</v>
      </c>
      <c r="AE450" s="79">
        <f t="shared" si="302"/>
        <v>-8.8673527115416085E-14</v>
      </c>
      <c r="AF450" s="79">
        <f t="shared" si="302"/>
        <v>-1.5370078033338787E-13</v>
      </c>
      <c r="AG450" s="30"/>
    </row>
    <row r="451" spans="1:33" x14ac:dyDescent="0.2">
      <c r="A451" s="44" t="s">
        <v>479</v>
      </c>
      <c r="B451" s="64"/>
      <c r="C451" s="28">
        <f t="shared" ref="C451:AF451" si="303">C450*C260</f>
        <v>-1.0103182409890138E-19</v>
      </c>
      <c r="D451" s="28">
        <f t="shared" si="303"/>
        <v>-8.8280234649525475E-20</v>
      </c>
      <c r="E451" s="28">
        <f t="shared" si="303"/>
        <v>-8.2394885672890441E-20</v>
      </c>
      <c r="F451" s="28">
        <f t="shared" si="303"/>
        <v>-9.4165583626160497E-20</v>
      </c>
      <c r="G451" s="28">
        <f t="shared" si="303"/>
        <v>-1.2555411150154735E-19</v>
      </c>
      <c r="H451" s="28">
        <f t="shared" si="303"/>
        <v>-1.0005093260279554E-19</v>
      </c>
      <c r="I451" s="28">
        <f t="shared" si="303"/>
        <v>-7.552864520014958E-20</v>
      </c>
      <c r="J451" s="28">
        <f t="shared" si="303"/>
        <v>-8.4356668665102119E-20</v>
      </c>
      <c r="K451" s="28">
        <f t="shared" si="303"/>
        <v>-4.1628950476424782E-20</v>
      </c>
      <c r="L451" s="28">
        <f t="shared" si="303"/>
        <v>-3.0275600346490747E-20</v>
      </c>
      <c r="M451" s="28">
        <f t="shared" si="303"/>
        <v>-2.522966695540896E-20</v>
      </c>
      <c r="N451" s="28">
        <f t="shared" si="303"/>
        <v>-3.6898387922285604E-20</v>
      </c>
      <c r="O451" s="28">
        <f t="shared" si="303"/>
        <v>-1.6714654357958435E-20</v>
      </c>
      <c r="P451" s="28">
        <f t="shared" si="303"/>
        <v>-2.4914296118466347E-20</v>
      </c>
      <c r="Q451" s="28">
        <f t="shared" si="303"/>
        <v>-2.9960229509548141E-20</v>
      </c>
      <c r="R451" s="28">
        <f t="shared" si="303"/>
        <v>0</v>
      </c>
      <c r="S451" s="28">
        <f t="shared" si="303"/>
        <v>0</v>
      </c>
      <c r="T451" s="28">
        <f t="shared" si="303"/>
        <v>0</v>
      </c>
      <c r="U451" s="28">
        <f t="shared" si="303"/>
        <v>0</v>
      </c>
      <c r="V451" s="28">
        <f t="shared" si="303"/>
        <v>0</v>
      </c>
      <c r="W451" s="28">
        <f t="shared" si="303"/>
        <v>0</v>
      </c>
      <c r="X451" s="28">
        <f t="shared" si="303"/>
        <v>0</v>
      </c>
      <c r="Y451" s="28">
        <f t="shared" si="303"/>
        <v>0</v>
      </c>
      <c r="Z451" s="28">
        <f t="shared" si="303"/>
        <v>0</v>
      </c>
      <c r="AA451" s="28">
        <f t="shared" si="303"/>
        <v>-1.27515894493759E-19</v>
      </c>
      <c r="AB451" s="28">
        <f t="shared" si="303"/>
        <v>-1.343821349664999E-19</v>
      </c>
      <c r="AC451" s="28">
        <f t="shared" si="303"/>
        <v>-1.343821349664999E-19</v>
      </c>
      <c r="AD451" s="28">
        <f t="shared" si="303"/>
        <v>-1.3242035197428819E-19</v>
      </c>
      <c r="AE451" s="28">
        <f t="shared" si="303"/>
        <v>-8.8280234649525475E-20</v>
      </c>
      <c r="AF451" s="28">
        <f t="shared" si="303"/>
        <v>-1.5301907339251081E-19</v>
      </c>
      <c r="AG451" s="28"/>
    </row>
    <row r="452" spans="1:33" x14ac:dyDescent="0.2">
      <c r="A452" s="198" t="s">
        <v>228</v>
      </c>
      <c r="B452" s="212"/>
      <c r="C452" s="79">
        <f>C185*C172</f>
        <v>1.8845410529175623E-12</v>
      </c>
      <c r="D452" s="79">
        <f t="shared" ref="D452:AF452" si="304">D185*D172</f>
        <v>1.6466863569182582E-12</v>
      </c>
      <c r="E452" s="79">
        <f t="shared" si="304"/>
        <v>1.536907266457041E-12</v>
      </c>
      <c r="F452" s="79">
        <f t="shared" si="304"/>
        <v>1.7564654473794753E-12</v>
      </c>
      <c r="G452" s="79">
        <f t="shared" si="304"/>
        <v>2.341953929839301E-12</v>
      </c>
      <c r="H452" s="79">
        <f t="shared" si="304"/>
        <v>1.8662445378406927E-12</v>
      </c>
      <c r="I452" s="79">
        <f t="shared" si="304"/>
        <v>1.4088316609189542E-12</v>
      </c>
      <c r="J452" s="79">
        <f t="shared" si="304"/>
        <v>1.5735002966107802E-12</v>
      </c>
      <c r="K452" s="79">
        <f t="shared" si="304"/>
        <v>2.4455723762972581E-12</v>
      </c>
      <c r="L452" s="79">
        <f t="shared" si="304"/>
        <v>1.7785980918525513E-12</v>
      </c>
      <c r="M452" s="79">
        <f t="shared" si="304"/>
        <v>1.482165076543793E-12</v>
      </c>
      <c r="N452" s="79">
        <f t="shared" si="304"/>
        <v>2.1676664244452972E-12</v>
      </c>
      <c r="O452" s="79">
        <f t="shared" si="304"/>
        <v>9.8193436321026272E-13</v>
      </c>
      <c r="P452" s="79">
        <f t="shared" si="304"/>
        <v>1.4636380130869954E-12</v>
      </c>
      <c r="Q452" s="79">
        <f t="shared" si="304"/>
        <v>1.7600710283957541E-12</v>
      </c>
      <c r="R452" s="79">
        <f t="shared" si="304"/>
        <v>9.8193436321026272E-13</v>
      </c>
      <c r="S452" s="79">
        <f t="shared" si="304"/>
        <v>1.0189884901238575E-12</v>
      </c>
      <c r="T452" s="79">
        <f t="shared" si="304"/>
        <v>1.4636380130869954E-12</v>
      </c>
      <c r="U452" s="79">
        <f t="shared" si="304"/>
        <v>1.3339485688894136E-12</v>
      </c>
      <c r="V452" s="79">
        <f t="shared" si="304"/>
        <v>1.3154215054326162E-12</v>
      </c>
      <c r="W452" s="79">
        <f t="shared" si="304"/>
        <v>1.9268145995069307E-12</v>
      </c>
      <c r="X452" s="79">
        <f t="shared" si="304"/>
        <v>9.2635317283987054E-13</v>
      </c>
      <c r="Y452" s="79">
        <f t="shared" si="304"/>
        <v>7.5960960172869389E-13</v>
      </c>
      <c r="Z452" s="79">
        <f t="shared" si="304"/>
        <v>1.5562733303709824E-12</v>
      </c>
      <c r="AA452" s="79">
        <f t="shared" si="304"/>
        <v>2.3785469599930394E-12</v>
      </c>
      <c r="AB452" s="79">
        <f t="shared" si="304"/>
        <v>2.5066225655311266E-12</v>
      </c>
      <c r="AC452" s="79">
        <f t="shared" si="304"/>
        <v>2.5066225655311266E-12</v>
      </c>
      <c r="AD452" s="79">
        <f t="shared" si="304"/>
        <v>2.4700295353773874E-12</v>
      </c>
      <c r="AE452" s="79">
        <f t="shared" si="304"/>
        <v>1.6466863569182582E-12</v>
      </c>
      <c r="AF452" s="79">
        <f t="shared" si="304"/>
        <v>2.8542563519916473E-12</v>
      </c>
      <c r="AG452" s="30"/>
    </row>
    <row r="453" spans="1:33" x14ac:dyDescent="0.2">
      <c r="A453" s="44" t="s">
        <v>479</v>
      </c>
      <c r="B453" s="64"/>
      <c r="C453" s="28">
        <f t="shared" ref="C453:AF453" si="305">C452*C262</f>
        <v>5.2664110708341896E-19</v>
      </c>
      <c r="D453" s="28">
        <f t="shared" si="305"/>
        <v>4.601718411408515E-19</v>
      </c>
      <c r="E453" s="28">
        <f t="shared" si="305"/>
        <v>4.2949371839812806E-19</v>
      </c>
      <c r="F453" s="28">
        <f t="shared" si="305"/>
        <v>4.9084996388357489E-19</v>
      </c>
      <c r="G453" s="28">
        <f t="shared" si="305"/>
        <v>6.5446661851143338E-19</v>
      </c>
      <c r="H453" s="28">
        <f t="shared" si="305"/>
        <v>5.2152808662629837E-19</v>
      </c>
      <c r="I453" s="28">
        <f t="shared" si="305"/>
        <v>3.9370257519828405E-19</v>
      </c>
      <c r="J453" s="28">
        <f t="shared" si="305"/>
        <v>4.3971975931236927E-19</v>
      </c>
      <c r="K453" s="28">
        <f t="shared" si="305"/>
        <v>3.1100500248431254E-19</v>
      </c>
      <c r="L453" s="28">
        <f t="shared" si="305"/>
        <v>2.2618545635222726E-19</v>
      </c>
      <c r="M453" s="28">
        <f t="shared" si="305"/>
        <v>1.8848788029352276E-19</v>
      </c>
      <c r="N453" s="28">
        <f t="shared" si="305"/>
        <v>2.7566352492927703E-19</v>
      </c>
      <c r="O453" s="28">
        <f t="shared" si="305"/>
        <v>1.2487322069445882E-19</v>
      </c>
      <c r="P453" s="28">
        <f t="shared" si="305"/>
        <v>1.8613178178985369E-19</v>
      </c>
      <c r="Q453" s="28">
        <f t="shared" si="305"/>
        <v>2.2382935784855825E-19</v>
      </c>
      <c r="R453" s="28">
        <f t="shared" si="305"/>
        <v>1.6498101853351965E-19</v>
      </c>
      <c r="S453" s="28">
        <f t="shared" si="305"/>
        <v>1.7120671734610528E-19</v>
      </c>
      <c r="T453" s="28">
        <f t="shared" si="305"/>
        <v>2.4591510309713306E-19</v>
      </c>
      <c r="U453" s="28">
        <f t="shared" si="305"/>
        <v>2.2412515725308332E-19</v>
      </c>
      <c r="V453" s="28">
        <f t="shared" si="305"/>
        <v>2.2101230784679049E-19</v>
      </c>
      <c r="W453" s="28">
        <f t="shared" si="305"/>
        <v>3.2373633825445364E-19</v>
      </c>
      <c r="X453" s="28">
        <f t="shared" si="305"/>
        <v>1.5564247031464119E-19</v>
      </c>
      <c r="Y453" s="28">
        <f t="shared" si="305"/>
        <v>1.2762682565800577E-19</v>
      </c>
      <c r="Z453" s="28">
        <f t="shared" si="305"/>
        <v>2.6147935012859715E-19</v>
      </c>
      <c r="AA453" s="28">
        <f t="shared" si="305"/>
        <v>6.6469265942567435E-19</v>
      </c>
      <c r="AB453" s="28">
        <f t="shared" si="305"/>
        <v>7.0048380262551841E-19</v>
      </c>
      <c r="AC453" s="28">
        <f t="shared" si="305"/>
        <v>7.0048380262551841E-19</v>
      </c>
      <c r="AD453" s="28">
        <f t="shared" si="305"/>
        <v>6.9025776171127725E-19</v>
      </c>
      <c r="AE453" s="28">
        <f t="shared" si="305"/>
        <v>4.601718411408515E-19</v>
      </c>
      <c r="AF453" s="28">
        <f t="shared" si="305"/>
        <v>7.9763119131080916E-19</v>
      </c>
      <c r="AG453" s="28"/>
    </row>
    <row r="454" spans="1:33" x14ac:dyDescent="0.2">
      <c r="A454" s="198" t="s">
        <v>229</v>
      </c>
      <c r="B454" s="212"/>
      <c r="C454" s="79">
        <f>(1+C185*C14)*C12*C172</f>
        <v>3.2464573904163224E-14</v>
      </c>
      <c r="D454" s="79">
        <f t="shared" ref="D454:AF454" si="306">(1+D185*D14)*D12*D172</f>
        <v>1.2116868188447309E-14</v>
      </c>
      <c r="E454" s="79">
        <f t="shared" si="306"/>
        <v>1.8703706933649613E-14</v>
      </c>
      <c r="F454" s="79">
        <f t="shared" si="306"/>
        <v>5.3103210502493301E-14</v>
      </c>
      <c r="G454" s="79">
        <f t="shared" si="306"/>
        <v>5.001512004549126E-14</v>
      </c>
      <c r="H454" s="79">
        <f t="shared" si="306"/>
        <v>2.4400120965846153E-14</v>
      </c>
      <c r="I454" s="79">
        <f t="shared" si="306"/>
        <v>2.1261529033516849E-14</v>
      </c>
      <c r="J454" s="79">
        <f t="shared" si="306"/>
        <v>2.0608683556234562E-14</v>
      </c>
      <c r="K454" s="79">
        <f t="shared" si="306"/>
        <v>7.3585652075940628E-14</v>
      </c>
      <c r="L454" s="79">
        <f t="shared" si="306"/>
        <v>5.2650144588493663E-14</v>
      </c>
      <c r="M454" s="79">
        <f t="shared" si="306"/>
        <v>4.8675208620243059E-14</v>
      </c>
      <c r="N454" s="79">
        <f t="shared" si="306"/>
        <v>7.560446086813213E-14</v>
      </c>
      <c r="O454" s="79">
        <f t="shared" si="306"/>
        <v>2.0278413900526525E-14</v>
      </c>
      <c r="P454" s="79">
        <f t="shared" si="306"/>
        <v>4.1007399026658773E-14</v>
      </c>
      <c r="Q454" s="79">
        <f t="shared" si="306"/>
        <v>8.5651918442969564E-15</v>
      </c>
      <c r="R454" s="79">
        <f t="shared" si="306"/>
        <v>8.9917797093602855E-15</v>
      </c>
      <c r="S454" s="79">
        <f t="shared" si="306"/>
        <v>8.7932592391211503E-15</v>
      </c>
      <c r="T454" s="79">
        <f t="shared" si="306"/>
        <v>8.2544085509614315E-15</v>
      </c>
      <c r="U454" s="79">
        <f t="shared" si="306"/>
        <v>5.4613670002361972E-15</v>
      </c>
      <c r="V454" s="79">
        <f t="shared" si="306"/>
        <v>2.9432374996430918E-15</v>
      </c>
      <c r="W454" s="79">
        <f t="shared" si="306"/>
        <v>3.0553595957254346E-15</v>
      </c>
      <c r="X454" s="79">
        <f t="shared" si="306"/>
        <v>8.2129142352670424E-15</v>
      </c>
      <c r="Y454" s="79">
        <f t="shared" si="306"/>
        <v>6.0958798407121734E-15</v>
      </c>
      <c r="Z454" s="79">
        <f t="shared" si="306"/>
        <v>5.5750868621642606E-15</v>
      </c>
      <c r="AA454" s="79">
        <f t="shared" si="306"/>
        <v>5.3931634504617243E-12</v>
      </c>
      <c r="AB454" s="79">
        <f t="shared" si="306"/>
        <v>6.6375493834460898E-12</v>
      </c>
      <c r="AC454" s="79">
        <f t="shared" si="306"/>
        <v>3.1006113737727908E-12</v>
      </c>
      <c r="AD454" s="79">
        <f t="shared" si="306"/>
        <v>7.6040568204442349E-12</v>
      </c>
      <c r="AE454" s="79">
        <f t="shared" si="306"/>
        <v>6.8409421337854693E-12</v>
      </c>
      <c r="AF454" s="79">
        <f t="shared" si="306"/>
        <v>6.9797494438743145E-12</v>
      </c>
      <c r="AG454" s="30"/>
    </row>
    <row r="455" spans="1:33" x14ac:dyDescent="0.2">
      <c r="A455" s="44" t="s">
        <v>479</v>
      </c>
      <c r="B455" s="64"/>
      <c r="C455" s="28">
        <f t="shared" ref="C455:AF455" si="307">C454*C223</f>
        <v>9.7393721712489657E-18</v>
      </c>
      <c r="D455" s="28">
        <f t="shared" si="307"/>
        <v>3.6350604565341925E-18</v>
      </c>
      <c r="E455" s="28">
        <f t="shared" si="307"/>
        <v>5.6111120800948832E-18</v>
      </c>
      <c r="F455" s="28">
        <f t="shared" si="307"/>
        <v>1.5930963150747988E-17</v>
      </c>
      <c r="G455" s="28">
        <f t="shared" si="307"/>
        <v>1.5004536013647375E-17</v>
      </c>
      <c r="H455" s="28">
        <f t="shared" si="307"/>
        <v>7.3200362897538449E-18</v>
      </c>
      <c r="I455" s="28">
        <f t="shared" si="307"/>
        <v>6.3784587100550544E-18</v>
      </c>
      <c r="J455" s="28">
        <f t="shared" si="307"/>
        <v>6.1826050668703681E-18</v>
      </c>
      <c r="K455" s="28">
        <f t="shared" si="307"/>
        <v>2.2075695622782186E-17</v>
      </c>
      <c r="L455" s="28">
        <f t="shared" si="307"/>
        <v>1.5795043376548096E-17</v>
      </c>
      <c r="M455" s="28">
        <f t="shared" si="307"/>
        <v>1.4602562586072916E-17</v>
      </c>
      <c r="N455" s="28">
        <f t="shared" si="307"/>
        <v>2.2681338260439636E-17</v>
      </c>
      <c r="O455" s="28">
        <f t="shared" si="307"/>
        <v>6.0835241701579573E-18</v>
      </c>
      <c r="P455" s="28">
        <f t="shared" si="307"/>
        <v>1.2302219707997631E-17</v>
      </c>
      <c r="Q455" s="28">
        <f t="shared" si="307"/>
        <v>2.5695575532890865E-18</v>
      </c>
      <c r="R455" s="28">
        <f t="shared" si="307"/>
        <v>9.2691616882788226E-19</v>
      </c>
      <c r="S455" s="28">
        <f t="shared" si="307"/>
        <v>8.6957486554789147E-19</v>
      </c>
      <c r="T455" s="28">
        <f t="shared" si="307"/>
        <v>7.8904952742540005E-19</v>
      </c>
      <c r="U455" s="28">
        <f t="shared" si="307"/>
        <v>5.7015959745727531E-19</v>
      </c>
      <c r="V455" s="28">
        <f t="shared" si="307"/>
        <v>3.2472105131792456E-19</v>
      </c>
      <c r="W455" s="28">
        <f t="shared" si="307"/>
        <v>2.8508116554480594E-19</v>
      </c>
      <c r="X455" s="28">
        <f t="shared" si="307"/>
        <v>8.0258626682302015E-19</v>
      </c>
      <c r="Y455" s="28">
        <f t="shared" si="307"/>
        <v>6.6720481030321686E-19</v>
      </c>
      <c r="Z455" s="28">
        <f t="shared" si="307"/>
        <v>5.60785034037208E-19</v>
      </c>
      <c r="AA455" s="28">
        <f t="shared" si="307"/>
        <v>1.0786326900923449E-15</v>
      </c>
      <c r="AB455" s="28">
        <f t="shared" si="307"/>
        <v>1.327509876689218E-15</v>
      </c>
      <c r="AC455" s="28">
        <f t="shared" si="307"/>
        <v>6.2012227475455815E-16</v>
      </c>
      <c r="AD455" s="28">
        <f t="shared" si="307"/>
        <v>1.520811364088847E-15</v>
      </c>
      <c r="AE455" s="28">
        <f t="shared" si="307"/>
        <v>1.3681884267570939E-15</v>
      </c>
      <c r="AF455" s="28">
        <f t="shared" si="307"/>
        <v>1.3959498887748629E-15</v>
      </c>
      <c r="AG455" s="28"/>
    </row>
    <row r="456" spans="1:33" x14ac:dyDescent="0.2">
      <c r="A456" s="198" t="s">
        <v>257</v>
      </c>
      <c r="B456" s="212"/>
      <c r="C456" s="79">
        <f>C185/C198-1</f>
        <v>2.9265797256923465E-2</v>
      </c>
      <c r="D456" s="79">
        <f t="shared" ref="D456:AF456" si="308">D185/D198-1</f>
        <v>2.9265797256923465E-2</v>
      </c>
      <c r="E456" s="79">
        <f t="shared" si="308"/>
        <v>2.9265797256923465E-2</v>
      </c>
      <c r="F456" s="79">
        <f t="shared" si="308"/>
        <v>2.9265797256923465E-2</v>
      </c>
      <c r="G456" s="79">
        <f t="shared" si="308"/>
        <v>2.9265797256923465E-2</v>
      </c>
      <c r="H456" s="79">
        <f t="shared" si="308"/>
        <v>2.9265797256923465E-2</v>
      </c>
      <c r="I456" s="79">
        <f t="shared" si="308"/>
        <v>2.9265797256923465E-2</v>
      </c>
      <c r="J456" s="79">
        <f t="shared" si="308"/>
        <v>2.9265797256923465E-2</v>
      </c>
      <c r="K456" s="79">
        <f t="shared" si="308"/>
        <v>2.9265797256923465E-2</v>
      </c>
      <c r="L456" s="79">
        <f t="shared" si="308"/>
        <v>2.9265797256923465E-2</v>
      </c>
      <c r="M456" s="79">
        <f t="shared" si="308"/>
        <v>2.9265797256923465E-2</v>
      </c>
      <c r="N456" s="79">
        <f t="shared" si="308"/>
        <v>2.9265797256923465E-2</v>
      </c>
      <c r="O456" s="79">
        <f t="shared" si="308"/>
        <v>2.9265797256923465E-2</v>
      </c>
      <c r="P456" s="79">
        <f t="shared" si="308"/>
        <v>2.9265797256923465E-2</v>
      </c>
      <c r="Q456" s="79">
        <f t="shared" si="308"/>
        <v>2.9265797256923465E-2</v>
      </c>
      <c r="R456" s="79">
        <f t="shared" si="308"/>
        <v>2.9265797256923465E-2</v>
      </c>
      <c r="S456" s="79">
        <f t="shared" si="308"/>
        <v>2.9265797256923465E-2</v>
      </c>
      <c r="T456" s="79">
        <f t="shared" si="308"/>
        <v>2.9265797256923465E-2</v>
      </c>
      <c r="U456" s="79">
        <f t="shared" si="308"/>
        <v>2.9265797256923465E-2</v>
      </c>
      <c r="V456" s="79">
        <f t="shared" si="308"/>
        <v>2.9265797256923465E-2</v>
      </c>
      <c r="W456" s="79">
        <f t="shared" si="308"/>
        <v>2.9265797256923465E-2</v>
      </c>
      <c r="X456" s="79">
        <f t="shared" si="308"/>
        <v>2.9265797256923465E-2</v>
      </c>
      <c r="Y456" s="79">
        <f t="shared" si="308"/>
        <v>2.9265797256923465E-2</v>
      </c>
      <c r="Z456" s="79">
        <f t="shared" si="308"/>
        <v>2.9265797256923465E-2</v>
      </c>
      <c r="AA456" s="79">
        <f t="shared" si="308"/>
        <v>2.9265797256923465E-2</v>
      </c>
      <c r="AB456" s="79">
        <f t="shared" si="308"/>
        <v>2.9265797256923465E-2</v>
      </c>
      <c r="AC456" s="79">
        <f t="shared" si="308"/>
        <v>2.9265797256923465E-2</v>
      </c>
      <c r="AD456" s="79">
        <f t="shared" si="308"/>
        <v>2.9265797256923465E-2</v>
      </c>
      <c r="AE456" s="79">
        <f t="shared" si="308"/>
        <v>2.9265797256923465E-2</v>
      </c>
      <c r="AF456" s="79">
        <f t="shared" si="308"/>
        <v>2.9265797256923465E-2</v>
      </c>
      <c r="AG456" s="30"/>
    </row>
    <row r="457" spans="1:33" x14ac:dyDescent="0.2">
      <c r="A457" s="44" t="s">
        <v>479</v>
      </c>
      <c r="B457" s="64"/>
      <c r="C457" s="28">
        <f t="shared" ref="C457:AF457" si="309">C456*C278</f>
        <v>4.4078352399495429E-18</v>
      </c>
      <c r="D457" s="28">
        <f t="shared" si="309"/>
        <v>4.4078352399495429E-18</v>
      </c>
      <c r="E457" s="28">
        <f t="shared" si="309"/>
        <v>4.4078352399495429E-18</v>
      </c>
      <c r="F457" s="28">
        <f t="shared" si="309"/>
        <v>4.4078352399495429E-18</v>
      </c>
      <c r="G457" s="28">
        <f t="shared" si="309"/>
        <v>4.4078352399495429E-18</v>
      </c>
      <c r="H457" s="28">
        <f t="shared" si="309"/>
        <v>4.4078352399495429E-18</v>
      </c>
      <c r="I457" s="28">
        <f t="shared" si="309"/>
        <v>4.4078352399495429E-18</v>
      </c>
      <c r="J457" s="28">
        <f t="shared" si="309"/>
        <v>4.4078352399495429E-18</v>
      </c>
      <c r="K457" s="28">
        <f t="shared" si="309"/>
        <v>2.9550082338922622E-18</v>
      </c>
      <c r="L457" s="28">
        <f t="shared" si="309"/>
        <v>3.5874241819752052E-18</v>
      </c>
      <c r="M457" s="28">
        <f t="shared" si="309"/>
        <v>3.5173762946414236E-18</v>
      </c>
      <c r="N457" s="28">
        <f t="shared" si="309"/>
        <v>4.1317131024698106E-18</v>
      </c>
      <c r="O457" s="28">
        <f t="shared" si="309"/>
        <v>3.0188923652912302E-18</v>
      </c>
      <c r="P457" s="28">
        <f t="shared" si="309"/>
        <v>2.8418156372742674E-18</v>
      </c>
      <c r="Q457" s="28">
        <f t="shared" si="309"/>
        <v>2.2038819540090096E-18</v>
      </c>
      <c r="R457" s="28">
        <f t="shared" si="309"/>
        <v>4.253189760054267E-18</v>
      </c>
      <c r="S457" s="28">
        <f t="shared" si="309"/>
        <v>4.4078352399495429E-18</v>
      </c>
      <c r="T457" s="28">
        <f t="shared" si="309"/>
        <v>4.4078352399495429E-18</v>
      </c>
      <c r="U457" s="28">
        <f t="shared" si="309"/>
        <v>4.4078352399495429E-18</v>
      </c>
      <c r="V457" s="28">
        <f t="shared" si="309"/>
        <v>2.9818241945355513E-18</v>
      </c>
      <c r="W457" s="28">
        <f t="shared" si="309"/>
        <v>3.9750509895772336E-18</v>
      </c>
      <c r="X457" s="28">
        <f t="shared" si="309"/>
        <v>3.8028327780597802E-18</v>
      </c>
      <c r="Y457" s="28">
        <f t="shared" si="309"/>
        <v>4.4078352399495429E-18</v>
      </c>
      <c r="Z457" s="28">
        <f t="shared" si="309"/>
        <v>4.4078352399495429E-18</v>
      </c>
      <c r="AA457" s="28">
        <f t="shared" si="309"/>
        <v>4.4078352399495429E-18</v>
      </c>
      <c r="AB457" s="28">
        <f t="shared" si="309"/>
        <v>4.4078352399495429E-18</v>
      </c>
      <c r="AC457" s="28">
        <f t="shared" si="309"/>
        <v>4.4078352399495429E-18</v>
      </c>
      <c r="AD457" s="28">
        <f t="shared" si="309"/>
        <v>4.4078352399495429E-18</v>
      </c>
      <c r="AE457" s="28">
        <f t="shared" si="309"/>
        <v>4.4078352399495429E-18</v>
      </c>
      <c r="AF457" s="28">
        <f t="shared" si="309"/>
        <v>4.4078352399495429E-18</v>
      </c>
      <c r="AG457" s="28"/>
    </row>
    <row r="458" spans="1:33" x14ac:dyDescent="0.2">
      <c r="A458" s="198" t="s">
        <v>160</v>
      </c>
      <c r="B458" s="212"/>
      <c r="C458" s="79">
        <f>-C185*C230/(C198*C198)</f>
        <v>-3.4368704587900811E-17</v>
      </c>
      <c r="D458" s="79">
        <f t="shared" ref="D458:AF458" si="310">-D185*D230/(D198*D198)</f>
        <v>-3.4368704587900811E-17</v>
      </c>
      <c r="E458" s="79">
        <f t="shared" si="310"/>
        <v>-3.4368704587900811E-17</v>
      </c>
      <c r="F458" s="79">
        <f t="shared" si="310"/>
        <v>-3.4368704587900811E-17</v>
      </c>
      <c r="G458" s="79">
        <f t="shared" si="310"/>
        <v>-3.4368704587900811E-17</v>
      </c>
      <c r="H458" s="79">
        <f t="shared" si="310"/>
        <v>-3.4368704587900811E-17</v>
      </c>
      <c r="I458" s="79">
        <f t="shared" si="310"/>
        <v>-3.4368704587900811E-17</v>
      </c>
      <c r="J458" s="79">
        <f t="shared" si="310"/>
        <v>-3.4368704587900811E-17</v>
      </c>
      <c r="K458" s="79">
        <f t="shared" si="310"/>
        <v>-2.3040744382864058E-17</v>
      </c>
      <c r="L458" s="79">
        <f t="shared" si="310"/>
        <v>-2.7971808207424954E-17</v>
      </c>
      <c r="M458" s="79">
        <f t="shared" si="310"/>
        <v>-2.7425631906423088E-17</v>
      </c>
      <c r="N458" s="79">
        <f t="shared" si="310"/>
        <v>-3.2215729338914582E-17</v>
      </c>
      <c r="O458" s="79">
        <f t="shared" si="310"/>
        <v>-2.3538860741662191E-17</v>
      </c>
      <c r="P458" s="79">
        <f t="shared" si="310"/>
        <v>-2.2158160823605203E-17</v>
      </c>
      <c r="Q458" s="79">
        <f t="shared" si="310"/>
        <v>-1.7184074199835179E-17</v>
      </c>
      <c r="R458" s="79">
        <f t="shared" si="310"/>
        <v>-3.3162905249893854E-17</v>
      </c>
      <c r="S458" s="79">
        <f t="shared" si="310"/>
        <v>-3.4368704587900811E-17</v>
      </c>
      <c r="T458" s="79">
        <f t="shared" si="310"/>
        <v>-3.4368704587900811E-17</v>
      </c>
      <c r="U458" s="79">
        <f t="shared" si="310"/>
        <v>-3.4368704587900811E-17</v>
      </c>
      <c r="V458" s="79">
        <f t="shared" si="310"/>
        <v>-2.3249833375401025E-17</v>
      </c>
      <c r="W458" s="79">
        <f t="shared" si="310"/>
        <v>-3.0994205941369677E-17</v>
      </c>
      <c r="X458" s="79">
        <f t="shared" si="310"/>
        <v>-2.9651388772829648E-17</v>
      </c>
      <c r="Y458" s="79">
        <f t="shared" si="310"/>
        <v>-3.4368704587900811E-17</v>
      </c>
      <c r="Z458" s="79">
        <f t="shared" si="310"/>
        <v>-3.4368704587900811E-17</v>
      </c>
      <c r="AA458" s="79">
        <f t="shared" si="310"/>
        <v>-3.4368704587900811E-17</v>
      </c>
      <c r="AB458" s="79">
        <f t="shared" si="310"/>
        <v>-3.4368704587900811E-17</v>
      </c>
      <c r="AC458" s="79">
        <f t="shared" si="310"/>
        <v>-3.4368704587900811E-17</v>
      </c>
      <c r="AD458" s="79">
        <f t="shared" si="310"/>
        <v>-3.4368704587900811E-17</v>
      </c>
      <c r="AE458" s="79">
        <f t="shared" si="310"/>
        <v>-3.4368704587900811E-17</v>
      </c>
      <c r="AF458" s="79">
        <f t="shared" si="310"/>
        <v>-3.4368704587900811E-17</v>
      </c>
      <c r="AG458" s="30"/>
    </row>
    <row r="459" spans="1:33" x14ac:dyDescent="0.2">
      <c r="A459" s="44" t="s">
        <v>479</v>
      </c>
      <c r="B459" s="64"/>
      <c r="C459" s="28">
        <f t="shared" ref="C459:AF459" si="311">C458*C273</f>
        <v>-3.7647914801901254E-18</v>
      </c>
      <c r="D459" s="28">
        <f t="shared" si="311"/>
        <v>-3.7647914801901254E-18</v>
      </c>
      <c r="E459" s="28">
        <f t="shared" si="311"/>
        <v>-3.7647914801901254E-18</v>
      </c>
      <c r="F459" s="28">
        <f t="shared" si="311"/>
        <v>-3.7647914801901254E-18</v>
      </c>
      <c r="G459" s="28">
        <f t="shared" si="311"/>
        <v>-3.7647914801901254E-18</v>
      </c>
      <c r="H459" s="28">
        <f t="shared" si="311"/>
        <v>-3.7647914801901254E-18</v>
      </c>
      <c r="I459" s="28">
        <f t="shared" si="311"/>
        <v>-3.7647914801901254E-18</v>
      </c>
      <c r="J459" s="28">
        <f t="shared" si="311"/>
        <v>-3.7647914801901254E-18</v>
      </c>
      <c r="K459" s="28">
        <f t="shared" si="311"/>
        <v>-2.5239123554392671E-18</v>
      </c>
      <c r="L459" s="28">
        <f t="shared" si="311"/>
        <v>-3.0640673393869612E-18</v>
      </c>
      <c r="M459" s="28">
        <f t="shared" si="311"/>
        <v>-3.0042384948218545E-18</v>
      </c>
      <c r="N459" s="28">
        <f t="shared" si="311"/>
        <v>-3.5289518414364133E-18</v>
      </c>
      <c r="O459" s="28">
        <f t="shared" si="311"/>
        <v>-2.5784766529952108E-18</v>
      </c>
      <c r="P459" s="28">
        <f t="shared" si="311"/>
        <v>-2.4272330332391701E-18</v>
      </c>
      <c r="Q459" s="28">
        <f t="shared" si="311"/>
        <v>-1.8823652773130563E-18</v>
      </c>
      <c r="R459" s="28">
        <f t="shared" si="311"/>
        <v>-3.6327066917472807E-18</v>
      </c>
      <c r="S459" s="28">
        <f t="shared" si="311"/>
        <v>-3.7647914801901254E-18</v>
      </c>
      <c r="T459" s="28">
        <f t="shared" si="311"/>
        <v>-3.7647914801901254E-18</v>
      </c>
      <c r="U459" s="28">
        <f t="shared" si="311"/>
        <v>-3.7647914801901254E-18</v>
      </c>
      <c r="V459" s="28">
        <f t="shared" si="311"/>
        <v>-2.546816228807303E-18</v>
      </c>
      <c r="W459" s="28">
        <f t="shared" si="311"/>
        <v>-3.3951446195736228E-18</v>
      </c>
      <c r="X459" s="28">
        <f t="shared" si="311"/>
        <v>-3.2480507242351221E-18</v>
      </c>
      <c r="Y459" s="28">
        <f t="shared" si="311"/>
        <v>-3.7647914801901254E-18</v>
      </c>
      <c r="Z459" s="28">
        <f t="shared" si="311"/>
        <v>-3.7647914801901254E-18</v>
      </c>
      <c r="AA459" s="28">
        <f t="shared" si="311"/>
        <v>-3.7647914801901254E-18</v>
      </c>
      <c r="AB459" s="28">
        <f t="shared" si="311"/>
        <v>-3.7647914801901254E-18</v>
      </c>
      <c r="AC459" s="28">
        <f t="shared" si="311"/>
        <v>-3.7647914801901254E-18</v>
      </c>
      <c r="AD459" s="28">
        <f t="shared" si="311"/>
        <v>-3.7647914801901254E-18</v>
      </c>
      <c r="AE459" s="28">
        <f t="shared" si="311"/>
        <v>-3.7647914801901254E-18</v>
      </c>
      <c r="AF459" s="28">
        <f t="shared" si="311"/>
        <v>-3.7647914801901254E-18</v>
      </c>
      <c r="AG459" s="28"/>
    </row>
    <row r="460" spans="1:33" x14ac:dyDescent="0.2">
      <c r="A460" s="198" t="s">
        <v>161</v>
      </c>
      <c r="B460" s="212"/>
      <c r="C460" s="79">
        <f>((-C14*C12*C172*(1-C222))+(C158*C172)+(C230/C198))</f>
        <v>-3.5654520875281029E-16</v>
      </c>
      <c r="D460" s="79">
        <f t="shared" ref="D460:AF460" si="312">((-D14*D12*D172*(1-D222))+(D158*D172)+(D230/D198))</f>
        <v>-2.4214799400725584E-16</v>
      </c>
      <c r="E460" s="79">
        <f t="shared" si="312"/>
        <v>-3.9251096702671079E-16</v>
      </c>
      <c r="F460" s="79">
        <f t="shared" si="312"/>
        <v>-1.2909194172424748E-15</v>
      </c>
      <c r="G460" s="79">
        <f t="shared" si="312"/>
        <v>-1.1552842488500433E-15</v>
      </c>
      <c r="H460" s="79">
        <f t="shared" si="312"/>
        <v>-5.4102433393503548E-16</v>
      </c>
      <c r="I460" s="79">
        <f t="shared" si="312"/>
        <v>-4.3180613264680166E-16</v>
      </c>
      <c r="J460" s="79">
        <f t="shared" si="312"/>
        <v>-4.2628562357066344E-16</v>
      </c>
      <c r="K460" s="79">
        <f t="shared" si="312"/>
        <v>0</v>
      </c>
      <c r="L460" s="79">
        <f t="shared" si="312"/>
        <v>0</v>
      </c>
      <c r="M460" s="79">
        <f t="shared" si="312"/>
        <v>0</v>
      </c>
      <c r="N460" s="79">
        <f t="shared" si="312"/>
        <v>0</v>
      </c>
      <c r="O460" s="79">
        <f t="shared" si="312"/>
        <v>3.0814879110195774E-33</v>
      </c>
      <c r="P460" s="79">
        <f t="shared" si="312"/>
        <v>0</v>
      </c>
      <c r="Q460" s="79">
        <f t="shared" si="312"/>
        <v>3.0814879110195774E-33</v>
      </c>
      <c r="R460" s="79">
        <f t="shared" si="312"/>
        <v>6.1629758220391547E-33</v>
      </c>
      <c r="S460" s="79">
        <f t="shared" si="312"/>
        <v>-6.8294435519941192E-19</v>
      </c>
      <c r="T460" s="79">
        <f t="shared" si="312"/>
        <v>-6.6687980792378213E-18</v>
      </c>
      <c r="U460" s="79">
        <f t="shared" si="312"/>
        <v>-9.037412580576766E-18</v>
      </c>
      <c r="V460" s="79">
        <f t="shared" si="312"/>
        <v>9.2444637330587321E-33</v>
      </c>
      <c r="W460" s="79">
        <f t="shared" si="312"/>
        <v>6.1629758220391547E-33</v>
      </c>
      <c r="X460" s="79">
        <f t="shared" si="312"/>
        <v>6.1629758220391547E-33</v>
      </c>
      <c r="Y460" s="79">
        <f t="shared" si="312"/>
        <v>-4.1486903909429097E-18</v>
      </c>
      <c r="Z460" s="79">
        <f t="shared" si="312"/>
        <v>-7.3335416703499851E-19</v>
      </c>
      <c r="AA460" s="79">
        <f t="shared" si="312"/>
        <v>-5.9910245599941613E-17</v>
      </c>
      <c r="AB460" s="79">
        <f t="shared" si="312"/>
        <v>-4.928375177094601E-17</v>
      </c>
      <c r="AC460" s="79">
        <f t="shared" si="312"/>
        <v>-1.4270138007724118E-17</v>
      </c>
      <c r="AD460" s="79">
        <f t="shared" si="312"/>
        <v>-1.7957157742726139E-16</v>
      </c>
      <c r="AE460" s="79">
        <f t="shared" si="312"/>
        <v>-1.6029046047368425E-16</v>
      </c>
      <c r="AF460" s="79">
        <f t="shared" si="312"/>
        <v>-2.7226992162296185E-16</v>
      </c>
      <c r="AG460" s="30"/>
    </row>
    <row r="461" spans="1:33" x14ac:dyDescent="0.2">
      <c r="A461" s="44" t="s">
        <v>479</v>
      </c>
      <c r="B461" s="64"/>
      <c r="C461" s="28">
        <f t="shared" ref="C461:AF461" si="313">C460*C270</f>
        <v>-4.0199431368819674E-17</v>
      </c>
      <c r="D461" s="28">
        <f t="shared" si="313"/>
        <v>-2.7301479383896825E-17</v>
      </c>
      <c r="E461" s="28">
        <f t="shared" si="313"/>
        <v>-4.425446561375209E-17</v>
      </c>
      <c r="F461" s="28">
        <f t="shared" si="313"/>
        <v>-1.4554739551161204E-16</v>
      </c>
      <c r="G461" s="28">
        <f t="shared" si="313"/>
        <v>-1.3025492625627563E-16</v>
      </c>
      <c r="H461" s="28">
        <f t="shared" si="313"/>
        <v>-6.0998914154421133E-17</v>
      </c>
      <c r="I461" s="28">
        <f t="shared" si="313"/>
        <v>-4.8684880816909113E-17</v>
      </c>
      <c r="J461" s="28">
        <f t="shared" si="313"/>
        <v>-4.8062459535458042E-17</v>
      </c>
      <c r="K461" s="28">
        <f t="shared" si="313"/>
        <v>0</v>
      </c>
      <c r="L461" s="28">
        <f t="shared" si="313"/>
        <v>0</v>
      </c>
      <c r="M461" s="28">
        <f t="shared" si="313"/>
        <v>0</v>
      </c>
      <c r="N461" s="28">
        <f t="shared" si="313"/>
        <v>0</v>
      </c>
      <c r="O461" s="28">
        <f t="shared" si="313"/>
        <v>0</v>
      </c>
      <c r="P461" s="28">
        <f t="shared" si="313"/>
        <v>0</v>
      </c>
      <c r="Q461" s="28">
        <f t="shared" si="313"/>
        <v>0</v>
      </c>
      <c r="R461" s="28">
        <f t="shared" si="313"/>
        <v>0</v>
      </c>
      <c r="S461" s="28">
        <f t="shared" si="313"/>
        <v>-7.6999982222717712E-20</v>
      </c>
      <c r="T461" s="28">
        <f t="shared" si="313"/>
        <v>-7.5188751417129862E-19</v>
      </c>
      <c r="U461" s="28">
        <f t="shared" si="313"/>
        <v>-1.0189418841313758E-18</v>
      </c>
      <c r="V461" s="28">
        <f t="shared" si="313"/>
        <v>0</v>
      </c>
      <c r="W461" s="28">
        <f t="shared" si="313"/>
        <v>0</v>
      </c>
      <c r="X461" s="28">
        <f t="shared" si="313"/>
        <v>0</v>
      </c>
      <c r="Y461" s="28">
        <f t="shared" si="313"/>
        <v>-4.6775272965963436E-19</v>
      </c>
      <c r="Z461" s="28">
        <f t="shared" si="313"/>
        <v>-8.2683541337950957E-20</v>
      </c>
      <c r="AA461" s="28">
        <f t="shared" si="313"/>
        <v>-6.7547052860656375E-18</v>
      </c>
      <c r="AB461" s="28">
        <f t="shared" si="313"/>
        <v>-5.5565991304278707E-18</v>
      </c>
      <c r="AC461" s="28">
        <f t="shared" si="313"/>
        <v>-1.6089163993304379E-18</v>
      </c>
      <c r="AD461" s="28">
        <f t="shared" si="313"/>
        <v>-2.0246171103599173E-17</v>
      </c>
      <c r="AE461" s="28">
        <f t="shared" si="313"/>
        <v>-1.8072281457456508E-17</v>
      </c>
      <c r="AF461" s="28">
        <f t="shared" si="313"/>
        <v>-3.0697638782924464E-17</v>
      </c>
      <c r="AG461" s="28"/>
    </row>
    <row r="462" spans="1:33" s="15" customFormat="1" x14ac:dyDescent="0.2">
      <c r="A462" s="44" t="s">
        <v>172</v>
      </c>
      <c r="B462" s="212"/>
      <c r="C462" s="79">
        <f>(C12*C14*((C251/C18)^2-(C248/C12)^2-(C249/C14)^2))/2</f>
        <v>-8.6418598344564099E-12</v>
      </c>
      <c r="D462" s="79">
        <f t="shared" ref="D462:AF462" si="314">(D12*D14*((D251/D18)^2-(D248/D12)^2-(D249/D14)^2))/2</f>
        <v>-5.7860877557837994E-10</v>
      </c>
      <c r="E462" s="79">
        <f t="shared" si="314"/>
        <v>-1.2930953649002157E-10</v>
      </c>
      <c r="F462" s="79">
        <f t="shared" si="314"/>
        <v>-4.2949354208940165E-10</v>
      </c>
      <c r="G462" s="79">
        <f t="shared" si="314"/>
        <v>-8.0641211712504046E-10</v>
      </c>
      <c r="H462" s="79">
        <f t="shared" si="314"/>
        <v>-3.2895201734502185E-10</v>
      </c>
      <c r="I462" s="79">
        <f t="shared" si="314"/>
        <v>-3.2124554471757982E-10</v>
      </c>
      <c r="J462" s="79">
        <f t="shared" si="314"/>
        <v>-2.4315185339006217E-10</v>
      </c>
      <c r="K462" s="79">
        <f t="shared" si="314"/>
        <v>2.2285644094251493E-11</v>
      </c>
      <c r="L462" s="79">
        <f t="shared" si="314"/>
        <v>-5.3824577883796286E-11</v>
      </c>
      <c r="M462" s="79">
        <f t="shared" si="314"/>
        <v>-5.3532773909589734E-11</v>
      </c>
      <c r="N462" s="79">
        <f t="shared" si="314"/>
        <v>-2.0673085427219799E-11</v>
      </c>
      <c r="O462" s="79">
        <f t="shared" si="314"/>
        <v>1.0175319933158647E-11</v>
      </c>
      <c r="P462" s="79">
        <f t="shared" si="314"/>
        <v>-4.6309063422651968E-11</v>
      </c>
      <c r="Q462" s="79">
        <f t="shared" si="314"/>
        <v>-2.7666788637467557E-11</v>
      </c>
      <c r="R462" s="79">
        <f t="shared" si="314"/>
        <v>-5.5095409521480794E-11</v>
      </c>
      <c r="S462" s="79">
        <f t="shared" si="314"/>
        <v>-1.28067675676744E-10</v>
      </c>
      <c r="T462" s="79">
        <f t="shared" si="314"/>
        <v>-3.2599203723107399E-11</v>
      </c>
      <c r="U462" s="79">
        <f t="shared" si="314"/>
        <v>5.5910237093167427E-12</v>
      </c>
      <c r="V462" s="79">
        <f t="shared" si="314"/>
        <v>-8.333154875251054E-11</v>
      </c>
      <c r="W462" s="79">
        <f t="shared" si="314"/>
        <v>-1.2943300989827256E-10</v>
      </c>
      <c r="X462" s="79">
        <f t="shared" si="314"/>
        <v>-1.5942188880624414E-10</v>
      </c>
      <c r="Y462" s="79">
        <f t="shared" si="314"/>
        <v>-3.6144638695715789E-11</v>
      </c>
      <c r="Z462" s="79">
        <f t="shared" si="314"/>
        <v>-7.1985955705968202E-11</v>
      </c>
      <c r="AA462" s="79">
        <f t="shared" si="314"/>
        <v>-3.4752887428214467E-11</v>
      </c>
      <c r="AB462" s="79">
        <f t="shared" si="314"/>
        <v>-1.0449645367186356E-10</v>
      </c>
      <c r="AC462" s="79">
        <f t="shared" si="314"/>
        <v>-6.6044048235884481E-11</v>
      </c>
      <c r="AD462" s="79">
        <f t="shared" si="314"/>
        <v>-1.5633568933622902E-11</v>
      </c>
      <c r="AE462" s="79">
        <f t="shared" si="314"/>
        <v>2.445118548821702E-10</v>
      </c>
      <c r="AF462" s="79">
        <f t="shared" si="314"/>
        <v>4.9326462859222841E-10</v>
      </c>
      <c r="AG462" s="30"/>
    </row>
    <row r="463" spans="1:33" x14ac:dyDescent="0.2">
      <c r="A463" s="6" t="s">
        <v>174</v>
      </c>
      <c r="B463" s="64"/>
      <c r="C463" s="28">
        <f t="shared" ref="C463:AF463" si="315">C462*C446*C448</f>
        <v>2.752722885564628E-37</v>
      </c>
      <c r="D463" s="28">
        <f t="shared" si="315"/>
        <v>8.9545007319180202E-37</v>
      </c>
      <c r="E463" s="28">
        <f t="shared" si="315"/>
        <v>3.9846508186310133E-37</v>
      </c>
      <c r="F463" s="28">
        <f t="shared" si="315"/>
        <v>2.1962943759499425E-36</v>
      </c>
      <c r="G463" s="28">
        <f t="shared" si="315"/>
        <v>8.5465749703622251E-36</v>
      </c>
      <c r="H463" s="28">
        <f t="shared" si="315"/>
        <v>1.2258860887767749E-36</v>
      </c>
      <c r="I463" s="28">
        <f t="shared" si="315"/>
        <v>1.4377309862649815E-36</v>
      </c>
      <c r="J463" s="28">
        <f t="shared" si="315"/>
        <v>1.0079937037734656E-36</v>
      </c>
      <c r="K463" s="28">
        <f t="shared" si="315"/>
        <v>-3.9413702268063869E-36</v>
      </c>
      <c r="L463" s="28">
        <f t="shared" si="315"/>
        <v>4.9132629768122084E-36</v>
      </c>
      <c r="M463" s="28">
        <f t="shared" si="315"/>
        <v>3.7625657382393535E-36</v>
      </c>
      <c r="N463" s="28">
        <f t="shared" si="315"/>
        <v>3.3185591038386418E-36</v>
      </c>
      <c r="O463" s="28">
        <f t="shared" si="315"/>
        <v>-1.9237195550413933E-37</v>
      </c>
      <c r="P463" s="28">
        <f t="shared" si="315"/>
        <v>2.7075465953223033E-36</v>
      </c>
      <c r="Q463" s="28">
        <f t="shared" si="315"/>
        <v>3.7157996932114976E-37</v>
      </c>
      <c r="R463" s="28">
        <f t="shared" si="315"/>
        <v>4.0917719226309632E-37</v>
      </c>
      <c r="S463" s="28">
        <f t="shared" si="315"/>
        <v>9.5097526751027943E-37</v>
      </c>
      <c r="T463" s="28">
        <f t="shared" si="315"/>
        <v>3.0637277831877895E-37</v>
      </c>
      <c r="U463" s="28">
        <f t="shared" si="315"/>
        <v>-2.6630777477474986E-38</v>
      </c>
      <c r="V463" s="28">
        <f t="shared" si="315"/>
        <v>1.9663156986646379E-37</v>
      </c>
      <c r="W463" s="28">
        <f t="shared" si="315"/>
        <v>3.6965048203442409E-37</v>
      </c>
      <c r="X463" s="28">
        <f t="shared" si="315"/>
        <v>1.0225911446497838E-36</v>
      </c>
      <c r="Y463" s="28">
        <f t="shared" si="315"/>
        <v>1.2416433631647532E-37</v>
      </c>
      <c r="Z463" s="28">
        <f t="shared" si="315"/>
        <v>4.4143847981055307E-37</v>
      </c>
      <c r="AA463" s="28">
        <f t="shared" si="315"/>
        <v>4.4540677842054923E-34</v>
      </c>
      <c r="AB463" s="28">
        <f t="shared" si="315"/>
        <v>1.7374121765414377E-33</v>
      </c>
      <c r="AC463" s="28">
        <f t="shared" si="315"/>
        <v>5.1276717824033814E-34</v>
      </c>
      <c r="AD463" s="28">
        <f t="shared" si="315"/>
        <v>2.9327315506095692E-34</v>
      </c>
      <c r="AE463" s="28">
        <f t="shared" si="315"/>
        <v>-2.751119284396661E-33</v>
      </c>
      <c r="AF463" s="28">
        <f t="shared" si="315"/>
        <v>-9.8085200087292315E-33</v>
      </c>
      <c r="AG463" s="28"/>
    </row>
    <row r="464" spans="1:33" s="15" customFormat="1" x14ac:dyDescent="0.2">
      <c r="A464" s="44" t="s">
        <v>159</v>
      </c>
      <c r="B464" s="212"/>
      <c r="C464" s="79">
        <f>(C158*C154*((C262/C158)^2+(C260/C154)^2-(C266/C164)^2))/2</f>
        <v>4.0251248159520269E-13</v>
      </c>
      <c r="D464" s="79">
        <f t="shared" ref="D464:AF464" si="316">(D158*D154*((D262/D158)^2+(D260/D154)^2-(D266/D164)^2))/2</f>
        <v>4.0251248159520269E-13</v>
      </c>
      <c r="E464" s="79">
        <f t="shared" si="316"/>
        <v>4.0251248159520269E-13</v>
      </c>
      <c r="F464" s="79">
        <f t="shared" si="316"/>
        <v>4.0251248159520269E-13</v>
      </c>
      <c r="G464" s="79">
        <f t="shared" si="316"/>
        <v>4.0251248159520269E-13</v>
      </c>
      <c r="H464" s="79">
        <f t="shared" si="316"/>
        <v>4.0251248159520269E-13</v>
      </c>
      <c r="I464" s="79">
        <f t="shared" si="316"/>
        <v>4.0251248159520269E-13</v>
      </c>
      <c r="J464" s="79">
        <f t="shared" si="316"/>
        <v>4.0251248159520269E-13</v>
      </c>
      <c r="K464" s="79">
        <f t="shared" si="316"/>
        <v>1.8665108006058305E-14</v>
      </c>
      <c r="L464" s="79">
        <f t="shared" si="316"/>
        <v>1.8665108006058305E-14</v>
      </c>
      <c r="M464" s="79">
        <f t="shared" si="316"/>
        <v>1.8665108006058305E-14</v>
      </c>
      <c r="N464" s="79">
        <f t="shared" si="316"/>
        <v>1.8665108006058305E-14</v>
      </c>
      <c r="O464" s="79">
        <f t="shared" si="316"/>
        <v>1.8665108006058305E-14</v>
      </c>
      <c r="P464" s="79">
        <f t="shared" si="316"/>
        <v>1.8665108006058305E-14</v>
      </c>
      <c r="Q464" s="79">
        <f t="shared" si="316"/>
        <v>1.8665108006058305E-14</v>
      </c>
      <c r="R464" s="79">
        <f t="shared" si="316"/>
        <v>1.9268444675083111E-14</v>
      </c>
      <c r="S464" s="79">
        <f t="shared" si="316"/>
        <v>1.9268444675083111E-14</v>
      </c>
      <c r="T464" s="79">
        <f t="shared" si="316"/>
        <v>1.9268444675083111E-14</v>
      </c>
      <c r="U464" s="79">
        <f t="shared" si="316"/>
        <v>1.9268444675083111E-14</v>
      </c>
      <c r="V464" s="79">
        <f t="shared" si="316"/>
        <v>1.9268444675083111E-14</v>
      </c>
      <c r="W464" s="79">
        <f t="shared" si="316"/>
        <v>1.9268444675083111E-14</v>
      </c>
      <c r="X464" s="79">
        <f t="shared" si="316"/>
        <v>1.9268444675083111E-14</v>
      </c>
      <c r="Y464" s="79">
        <f t="shared" si="316"/>
        <v>1.9268444675083111E-14</v>
      </c>
      <c r="Z464" s="79">
        <f t="shared" si="316"/>
        <v>1.9268444675083111E-14</v>
      </c>
      <c r="AA464" s="79">
        <f t="shared" si="316"/>
        <v>4.0251248159520269E-13</v>
      </c>
      <c r="AB464" s="79">
        <f t="shared" si="316"/>
        <v>4.0251248159520269E-13</v>
      </c>
      <c r="AC464" s="79">
        <f t="shared" si="316"/>
        <v>4.0251248159520269E-13</v>
      </c>
      <c r="AD464" s="79">
        <f t="shared" si="316"/>
        <v>4.0251248159520269E-13</v>
      </c>
      <c r="AE464" s="79">
        <f t="shared" si="316"/>
        <v>4.0251248159520269E-13</v>
      </c>
      <c r="AF464" s="79">
        <f t="shared" si="316"/>
        <v>4.0251248159520269E-13</v>
      </c>
      <c r="AG464" s="30"/>
    </row>
    <row r="465" spans="1:33" x14ac:dyDescent="0.2">
      <c r="A465" s="6" t="s">
        <v>174</v>
      </c>
      <c r="B465" s="64"/>
      <c r="C465" s="28">
        <f t="shared" ref="C465:AF465" si="317">C464*C452*C450</f>
        <v>-7.6979246078406039E-38</v>
      </c>
      <c r="D465" s="28">
        <f t="shared" si="317"/>
        <v>-5.8773861177781949E-38</v>
      </c>
      <c r="E465" s="28">
        <f t="shared" si="317"/>
        <v>-5.1198563514867839E-38</v>
      </c>
      <c r="F465" s="28">
        <f t="shared" si="317"/>
        <v>-6.6871593162276349E-38</v>
      </c>
      <c r="G465" s="28">
        <f t="shared" si="317"/>
        <v>-1.1888283228849134E-37</v>
      </c>
      <c r="H465" s="28">
        <f t="shared" si="317"/>
        <v>-7.5491759468351047E-38</v>
      </c>
      <c r="I465" s="28">
        <f t="shared" si="317"/>
        <v>-4.3021015175687555E-38</v>
      </c>
      <c r="J465" s="28">
        <f t="shared" si="317"/>
        <v>-5.366561447788585E-38</v>
      </c>
      <c r="K465" s="28">
        <f t="shared" si="317"/>
        <v>-6.0113863928562321E-39</v>
      </c>
      <c r="L465" s="28">
        <f t="shared" si="317"/>
        <v>-3.1795762739074284E-39</v>
      </c>
      <c r="M465" s="28">
        <f t="shared" si="317"/>
        <v>-2.2080390791023816E-39</v>
      </c>
      <c r="N465" s="28">
        <f t="shared" si="317"/>
        <v>-4.7227885865363282E-39</v>
      </c>
      <c r="O465" s="28">
        <f t="shared" si="317"/>
        <v>-9.6912215206227936E-40</v>
      </c>
      <c r="P465" s="28">
        <f t="shared" si="317"/>
        <v>-2.1531831082309311E-39</v>
      </c>
      <c r="Q465" s="28">
        <f t="shared" si="317"/>
        <v>-3.1136801076404673E-39</v>
      </c>
      <c r="R465" s="28">
        <f t="shared" si="317"/>
        <v>-1.0004483533847483E-39</v>
      </c>
      <c r="S465" s="28">
        <f t="shared" si="317"/>
        <v>-1.0773785222459463E-39</v>
      </c>
      <c r="T465" s="28">
        <f t="shared" si="317"/>
        <v>-2.2227832586237855E-39</v>
      </c>
      <c r="U465" s="28">
        <f t="shared" si="317"/>
        <v>-1.8463240526687559E-39</v>
      </c>
      <c r="V465" s="28">
        <f t="shared" si="317"/>
        <v>-1.7953934316171294E-39</v>
      </c>
      <c r="W465" s="28">
        <f t="shared" si="317"/>
        <v>-3.8522069740866632E-39</v>
      </c>
      <c r="X465" s="28">
        <f t="shared" si="317"/>
        <v>-8.9039547293053426E-40</v>
      </c>
      <c r="Y465" s="28">
        <f t="shared" si="317"/>
        <v>-5.987019159984913E-40</v>
      </c>
      <c r="Z465" s="28">
        <f t="shared" si="317"/>
        <v>-2.5130521827991392E-39</v>
      </c>
      <c r="AA465" s="28">
        <f t="shared" si="317"/>
        <v>-1.2262694492648332E-37</v>
      </c>
      <c r="AB465" s="28">
        <f t="shared" si="317"/>
        <v>-1.3618846919083823E-37</v>
      </c>
      <c r="AC465" s="28">
        <f t="shared" si="317"/>
        <v>-1.3618846919083823E-37</v>
      </c>
      <c r="AD465" s="28">
        <f t="shared" si="317"/>
        <v>-1.3224118765000939E-37</v>
      </c>
      <c r="AE465" s="28">
        <f t="shared" si="317"/>
        <v>-5.8773861177781949E-38</v>
      </c>
      <c r="AF465" s="28">
        <f t="shared" si="317"/>
        <v>-1.7658280069413598E-37</v>
      </c>
      <c r="AG465" s="28"/>
    </row>
    <row r="466" spans="1:33" x14ac:dyDescent="0.2">
      <c r="A466" s="41" t="s">
        <v>162</v>
      </c>
      <c r="B466" s="44"/>
      <c r="C466" s="81"/>
      <c r="D466" s="81"/>
      <c r="E466" s="81"/>
      <c r="F466" s="81"/>
      <c r="G466" s="81"/>
      <c r="H466" s="81"/>
      <c r="I466" s="81"/>
      <c r="J466" s="81"/>
      <c r="K466" s="81"/>
      <c r="L466" s="81"/>
      <c r="M466" s="81"/>
      <c r="N466" s="81"/>
      <c r="O466" s="81"/>
      <c r="P466" s="81"/>
      <c r="Q466" s="81"/>
      <c r="R466" s="81"/>
      <c r="S466" s="81"/>
      <c r="T466" s="81"/>
      <c r="U466" s="81"/>
      <c r="V466" s="81"/>
      <c r="W466" s="81"/>
      <c r="X466" s="81"/>
      <c r="Y466" s="81"/>
      <c r="Z466" s="81"/>
      <c r="AA466" s="81"/>
      <c r="AB466" s="81"/>
      <c r="AC466" s="81"/>
      <c r="AD466" s="81"/>
      <c r="AE466" s="81"/>
      <c r="AF466" s="81"/>
      <c r="AG466" s="40"/>
    </row>
    <row r="467" spans="1:33" x14ac:dyDescent="0.2">
      <c r="A467" s="198" t="s">
        <v>163</v>
      </c>
      <c r="B467" s="212"/>
      <c r="C467" s="79">
        <f>(C16*(1+2*C222)-C187*C14*(1-C222))*C172</f>
        <v>3.0976912992687202E-15</v>
      </c>
      <c r="D467" s="79">
        <f t="shared" ref="D467:AF467" si="318">(D16*(1+2*D222)-D187*D14*(1-D222))*D172</f>
        <v>-5.9523332479859336E-16</v>
      </c>
      <c r="E467" s="79">
        <f t="shared" si="318"/>
        <v>2.5854889532007561E-16</v>
      </c>
      <c r="F467" s="79">
        <f t="shared" si="318"/>
        <v>2.7894907182243933E-16</v>
      </c>
      <c r="G467" s="79">
        <f t="shared" si="318"/>
        <v>2.5712976275263748E-16</v>
      </c>
      <c r="H467" s="79">
        <f t="shared" si="318"/>
        <v>2.4177835144274629E-16</v>
      </c>
      <c r="I467" s="79">
        <f t="shared" si="318"/>
        <v>5.8612440583039122E-16</v>
      </c>
      <c r="J467" s="79">
        <f t="shared" si="318"/>
        <v>6.6519134256371356E-16</v>
      </c>
      <c r="K467" s="79">
        <f t="shared" si="318"/>
        <v>5.9231565788150761E-15</v>
      </c>
      <c r="L467" s="79">
        <f t="shared" si="318"/>
        <v>4.2853404048721519E-15</v>
      </c>
      <c r="M467" s="79">
        <f t="shared" si="318"/>
        <v>3.5828432729790084E-15</v>
      </c>
      <c r="N467" s="79">
        <f t="shared" si="318"/>
        <v>5.2632848728248972E-15</v>
      </c>
      <c r="O467" s="79">
        <f t="shared" si="318"/>
        <v>2.2828862290183247E-15</v>
      </c>
      <c r="P467" s="79">
        <f t="shared" si="318"/>
        <v>3.4987546599719334E-15</v>
      </c>
      <c r="Q467" s="79">
        <f t="shared" si="318"/>
        <v>3.0314059936666117E-15</v>
      </c>
      <c r="R467" s="79">
        <f t="shared" si="318"/>
        <v>1.8069122345879882E-15</v>
      </c>
      <c r="S467" s="79">
        <f t="shared" si="318"/>
        <v>1.8458609379636982E-15</v>
      </c>
      <c r="T467" s="79">
        <f t="shared" si="318"/>
        <v>2.2134939102619768E-15</v>
      </c>
      <c r="U467" s="79">
        <f t="shared" si="318"/>
        <v>1.3260261246404627E-15</v>
      </c>
      <c r="V467" s="79">
        <f t="shared" si="318"/>
        <v>-4.3405197620113103E-17</v>
      </c>
      <c r="W467" s="79">
        <f t="shared" si="318"/>
        <v>-2.4060159588367074E-15</v>
      </c>
      <c r="X467" s="79">
        <f t="shared" si="318"/>
        <v>1.7592558574593371E-15</v>
      </c>
      <c r="Y467" s="79">
        <f t="shared" si="318"/>
        <v>1.2671861940012519E-15</v>
      </c>
      <c r="Z467" s="79">
        <f t="shared" si="318"/>
        <v>1.5032467193202357E-15</v>
      </c>
      <c r="AA467" s="79">
        <f t="shared" si="318"/>
        <v>2.2103368031484298E-14</v>
      </c>
      <c r="AB467" s="79">
        <f t="shared" si="318"/>
        <v>2.3317101189263641E-14</v>
      </c>
      <c r="AC467" s="79">
        <f t="shared" si="318"/>
        <v>2.3312726566069409E-14</v>
      </c>
      <c r="AD467" s="79">
        <f t="shared" si="318"/>
        <v>2.2976611837827756E-14</v>
      </c>
      <c r="AE467" s="79">
        <f t="shared" si="318"/>
        <v>1.5299169552993889E-14</v>
      </c>
      <c r="AF467" s="79">
        <f t="shared" si="318"/>
        <v>2.6541243910385552E-14</v>
      </c>
      <c r="AG467" s="30"/>
    </row>
    <row r="468" spans="1:33" x14ac:dyDescent="0.2">
      <c r="A468" s="44" t="s">
        <v>479</v>
      </c>
      <c r="B468" s="64"/>
      <c r="C468" s="28">
        <f t="shared" ref="C468:AF468" si="319">C467*C248</f>
        <v>8.4597806427618467E-20</v>
      </c>
      <c r="D468" s="28">
        <f t="shared" si="319"/>
        <v>-2.6232161154586935E-20</v>
      </c>
      <c r="E468" s="28">
        <f t="shared" si="319"/>
        <v>8.3904107494897829E-21</v>
      </c>
      <c r="F468" s="28">
        <f t="shared" si="319"/>
        <v>1.5670870117952366E-20</v>
      </c>
      <c r="G468" s="28">
        <f t="shared" si="319"/>
        <v>1.5764388461649237E-20</v>
      </c>
      <c r="H468" s="28">
        <f t="shared" si="319"/>
        <v>8.4052568580418188E-21</v>
      </c>
      <c r="I468" s="28">
        <f t="shared" si="319"/>
        <v>3.1129404630627477E-20</v>
      </c>
      <c r="J468" s="28">
        <f t="shared" si="319"/>
        <v>1.7624540069016812E-20</v>
      </c>
      <c r="K468" s="28">
        <f t="shared" si="319"/>
        <v>2.0592067380407541E-19</v>
      </c>
      <c r="L468" s="28">
        <f t="shared" si="319"/>
        <v>1.7755846540356718E-19</v>
      </c>
      <c r="M468" s="28">
        <f t="shared" si="319"/>
        <v>3.0956357157727857E-19</v>
      </c>
      <c r="N468" s="28">
        <f t="shared" si="319"/>
        <v>2.6879572764129131E-19</v>
      </c>
      <c r="O468" s="28">
        <f t="shared" si="319"/>
        <v>7.7428835926280037E-20</v>
      </c>
      <c r="P468" s="28">
        <f t="shared" si="319"/>
        <v>1.9283781757893548E-19</v>
      </c>
      <c r="Q468" s="28">
        <f t="shared" si="319"/>
        <v>9.4905587006369166E-20</v>
      </c>
      <c r="R468" s="28">
        <f t="shared" si="319"/>
        <v>5.6785461352145426E-20</v>
      </c>
      <c r="S468" s="28">
        <f t="shared" si="319"/>
        <v>8.0373764112189175E-20</v>
      </c>
      <c r="T468" s="28">
        <f t="shared" si="319"/>
        <v>4.9024109417520589E-20</v>
      </c>
      <c r="U468" s="28">
        <f t="shared" si="319"/>
        <v>2.4823249326939701E-20</v>
      </c>
      <c r="V468" s="28">
        <f t="shared" si="319"/>
        <v>-6.5158852285930127E-22</v>
      </c>
      <c r="W468" s="28">
        <f t="shared" si="319"/>
        <v>-1.4086443036057837E-20</v>
      </c>
      <c r="X468" s="28">
        <f t="shared" si="319"/>
        <v>5.3183104424550006E-20</v>
      </c>
      <c r="Y468" s="28">
        <f t="shared" si="319"/>
        <v>5.247404733871226E-20</v>
      </c>
      <c r="Z468" s="28">
        <f t="shared" si="319"/>
        <v>2.9041566853328476E-20</v>
      </c>
      <c r="AA468" s="28">
        <f t="shared" si="319"/>
        <v>1.3121464797297141E-16</v>
      </c>
      <c r="AB468" s="28">
        <f t="shared" si="319"/>
        <v>2.615098549203188E-16</v>
      </c>
      <c r="AC468" s="28">
        <f t="shared" si="319"/>
        <v>4.8254003245927972E-17</v>
      </c>
      <c r="AD468" s="28">
        <f t="shared" si="319"/>
        <v>1.4548320507002697E-16</v>
      </c>
      <c r="AE468" s="28">
        <f t="shared" si="319"/>
        <v>1.9640699079984719E-16</v>
      </c>
      <c r="AF468" s="28">
        <f t="shared" si="319"/>
        <v>1.4130811562505383E-16</v>
      </c>
      <c r="AG468" s="28"/>
    </row>
    <row r="469" spans="1:33" x14ac:dyDescent="0.2">
      <c r="A469" s="198" t="s">
        <v>134</v>
      </c>
      <c r="B469" s="212"/>
      <c r="C469" s="79">
        <f>C16*(1+2*C222)*C172</f>
        <v>3.0023920430749769E-14</v>
      </c>
      <c r="D469" s="79">
        <f t="shared" ref="D469:AF469" si="320">D16*(1+2*D222)*D172</f>
        <v>6.335180633452344E-14</v>
      </c>
      <c r="E469" s="79">
        <f t="shared" si="320"/>
        <v>5.6474425314133781E-14</v>
      </c>
      <c r="F469" s="79">
        <f t="shared" si="320"/>
        <v>7.16817860415414E-14</v>
      </c>
      <c r="G469" s="79">
        <f t="shared" si="320"/>
        <v>8.8865071005849525E-14</v>
      </c>
      <c r="H469" s="79">
        <f t="shared" si="320"/>
        <v>7.2093267642950867E-14</v>
      </c>
      <c r="I469" s="79">
        <f t="shared" si="320"/>
        <v>4.7872593592729033E-14</v>
      </c>
      <c r="J469" s="79">
        <f t="shared" si="320"/>
        <v>5.5856964305132363E-14</v>
      </c>
      <c r="K469" s="79">
        <f t="shared" si="320"/>
        <v>6.8862271689159548E-15</v>
      </c>
      <c r="L469" s="79">
        <f t="shared" si="320"/>
        <v>5.3137816668803019E-15</v>
      </c>
      <c r="M469" s="79">
        <f t="shared" si="320"/>
        <v>4.4593586387667045E-15</v>
      </c>
      <c r="N469" s="79">
        <f t="shared" si="320"/>
        <v>6.2801596268479405E-15</v>
      </c>
      <c r="O469" s="79">
        <f t="shared" si="320"/>
        <v>3.4360990201312611E-15</v>
      </c>
      <c r="P469" s="79">
        <f t="shared" si="320"/>
        <v>4.3678181061690433E-15</v>
      </c>
      <c r="Q469" s="79">
        <f t="shared" si="320"/>
        <v>7.6324963667443047E-15</v>
      </c>
      <c r="R469" s="79">
        <f t="shared" si="320"/>
        <v>5.6456919264951069E-15</v>
      </c>
      <c r="S469" s="79">
        <f t="shared" si="320"/>
        <v>6.170044989572414E-15</v>
      </c>
      <c r="T469" s="79">
        <f t="shared" si="320"/>
        <v>1.0498078292614118E-14</v>
      </c>
      <c r="U469" s="79">
        <f t="shared" si="320"/>
        <v>1.3979904797793889E-14</v>
      </c>
      <c r="V469" s="79">
        <f t="shared" si="320"/>
        <v>1.4421618054062868E-14</v>
      </c>
      <c r="W469" s="79">
        <f t="shared" si="320"/>
        <v>2.7869845583427589E-14</v>
      </c>
      <c r="X469" s="79">
        <f t="shared" si="320"/>
        <v>5.3319572419528335E-15</v>
      </c>
      <c r="Y469" s="79">
        <f t="shared" si="320"/>
        <v>6.3678796395773596E-15</v>
      </c>
      <c r="Z469" s="79">
        <f t="shared" si="320"/>
        <v>1.3618415883965775E-14</v>
      </c>
      <c r="AA469" s="79">
        <f t="shared" si="320"/>
        <v>2.2151619731870938E-14</v>
      </c>
      <c r="AB469" s="79">
        <f t="shared" si="320"/>
        <v>2.335566406229169E-14</v>
      </c>
      <c r="AC469" s="79">
        <f t="shared" si="320"/>
        <v>2.3371468172339368E-14</v>
      </c>
      <c r="AD469" s="79">
        <f t="shared" si="320"/>
        <v>2.3045262448066385E-14</v>
      </c>
      <c r="AE469" s="79">
        <f t="shared" si="320"/>
        <v>1.5343560909572351E-14</v>
      </c>
      <c r="AF469" s="79">
        <f t="shared" si="320"/>
        <v>2.6661657869892869E-14</v>
      </c>
      <c r="AG469" s="30"/>
    </row>
    <row r="470" spans="1:33" x14ac:dyDescent="0.2">
      <c r="A470" s="44" t="s">
        <v>479</v>
      </c>
      <c r="B470" s="64"/>
      <c r="C470" s="28">
        <f t="shared" ref="C470:AF470" si="321">C469*C250</f>
        <v>1.8028982896008212E-18</v>
      </c>
      <c r="D470" s="28">
        <f t="shared" si="321"/>
        <v>4.31052263953166E-17</v>
      </c>
      <c r="E470" s="28">
        <f t="shared" si="321"/>
        <v>1.5136301911797392E-17</v>
      </c>
      <c r="F470" s="28">
        <f t="shared" si="321"/>
        <v>1.3058390348147677E-17</v>
      </c>
      <c r="G470" s="28">
        <f t="shared" si="321"/>
        <v>2.0603883456610709E-17</v>
      </c>
      <c r="H470" s="28">
        <f t="shared" si="321"/>
        <v>1.9935994798263707E-17</v>
      </c>
      <c r="I470" s="28">
        <f t="shared" si="321"/>
        <v>1.3601400187050307E-17</v>
      </c>
      <c r="J470" s="28">
        <f t="shared" si="321"/>
        <v>9.8951659574827229E-18</v>
      </c>
      <c r="K470" s="28">
        <f t="shared" si="321"/>
        <v>1.0380532458546035E-19</v>
      </c>
      <c r="L470" s="28">
        <f t="shared" si="321"/>
        <v>9.8748644271518123E-20</v>
      </c>
      <c r="M470" s="28">
        <f t="shared" si="321"/>
        <v>6.4547847522425877E-20</v>
      </c>
      <c r="N470" s="28">
        <f t="shared" si="321"/>
        <v>1.1164585944183437E-19</v>
      </c>
      <c r="O470" s="28">
        <f t="shared" si="321"/>
        <v>9.9651599319858169E-20</v>
      </c>
      <c r="P470" s="28">
        <f t="shared" si="321"/>
        <v>7.3417792458342541E-20</v>
      </c>
      <c r="Q470" s="28">
        <f t="shared" si="321"/>
        <v>4.5677831073126777E-19</v>
      </c>
      <c r="R470" s="28">
        <f t="shared" si="321"/>
        <v>4.5723180349315792E-19</v>
      </c>
      <c r="S470" s="28">
        <f t="shared" si="321"/>
        <v>7.1991914272447601E-19</v>
      </c>
      <c r="T470" s="28">
        <f t="shared" si="321"/>
        <v>1.229928723720041E-18</v>
      </c>
      <c r="U470" s="28">
        <f t="shared" si="321"/>
        <v>2.2705010572469887E-18</v>
      </c>
      <c r="V470" s="28">
        <f t="shared" si="321"/>
        <v>2.6058133124671534E-18</v>
      </c>
      <c r="W470" s="28">
        <f t="shared" si="321"/>
        <v>4.8547075172029003E-18</v>
      </c>
      <c r="X470" s="28">
        <f t="shared" si="321"/>
        <v>4.0472466442268483E-19</v>
      </c>
      <c r="Y470" s="28">
        <f t="shared" si="321"/>
        <v>7.1209867703050395E-19</v>
      </c>
      <c r="Z470" s="28">
        <f t="shared" si="321"/>
        <v>1.8200103835715038E-18</v>
      </c>
      <c r="AA470" s="28">
        <f t="shared" si="321"/>
        <v>7.1630846667781838E-20</v>
      </c>
      <c r="AB470" s="28">
        <f t="shared" si="321"/>
        <v>1.1644644224958068E-19</v>
      </c>
      <c r="AC470" s="28">
        <f t="shared" si="321"/>
        <v>9.025399614377802E-20</v>
      </c>
      <c r="AD470" s="28">
        <f t="shared" si="321"/>
        <v>7.4854640952016383E-20</v>
      </c>
      <c r="AE470" s="28">
        <f t="shared" si="321"/>
        <v>5.8180576376502433E-20</v>
      </c>
      <c r="AF470" s="28">
        <f t="shared" si="321"/>
        <v>7.8783676915523177E-20</v>
      </c>
      <c r="AG470" s="28"/>
    </row>
    <row r="471" spans="1:33" x14ac:dyDescent="0.2">
      <c r="A471" s="198" t="s">
        <v>139</v>
      </c>
      <c r="B471" s="212"/>
      <c r="C471" s="79">
        <f>-C187*C12*(1-C222)*C172</f>
        <v>-3.8481167956681348E-13</v>
      </c>
      <c r="D471" s="79">
        <f t="shared" ref="D471:AF471" si="322">-D187*D12*(1-D222)*D172</f>
        <v>-1.0168758632383083E-13</v>
      </c>
      <c r="E471" s="79">
        <f t="shared" si="322"/>
        <v>-1.612954807107238E-13</v>
      </c>
      <c r="F471" s="79">
        <f t="shared" si="322"/>
        <v>-4.3622234955689092E-13</v>
      </c>
      <c r="G471" s="79">
        <f t="shared" si="322"/>
        <v>-4.2478523523156055E-13</v>
      </c>
      <c r="H471" s="79">
        <f t="shared" si="322"/>
        <v>-2.0558637175439063E-13</v>
      </c>
      <c r="I471" s="79">
        <f t="shared" si="322"/>
        <v>-1.9036453607787963E-13</v>
      </c>
      <c r="J471" s="79">
        <f t="shared" si="322"/>
        <v>-1.8104635985680983E-13</v>
      </c>
      <c r="K471" s="79">
        <f t="shared" si="322"/>
        <v>-1.1378585206313774E-12</v>
      </c>
      <c r="L471" s="79">
        <f t="shared" si="322"/>
        <v>-8.1085394966915742E-13</v>
      </c>
      <c r="M471" s="79">
        <f t="shared" si="322"/>
        <v>-7.4942175661180847E-13</v>
      </c>
      <c r="N471" s="79">
        <f t="shared" si="322"/>
        <v>-1.1671489106821188E-12</v>
      </c>
      <c r="O471" s="79">
        <f t="shared" si="322"/>
        <v>-3.0829120287253152E-13</v>
      </c>
      <c r="P471" s="79">
        <f t="shared" si="322"/>
        <v>-6.3133229578345694E-13</v>
      </c>
      <c r="Q471" s="79">
        <f t="shared" si="322"/>
        <v>-1.2629752051606475E-13</v>
      </c>
      <c r="R471" s="79">
        <f t="shared" si="322"/>
        <v>-1.2905926795289775E-13</v>
      </c>
      <c r="S471" s="79">
        <f t="shared" si="322"/>
        <v>-1.2534553672219427E-13</v>
      </c>
      <c r="T471" s="79">
        <f t="shared" si="322"/>
        <v>-1.1445087345426182E-13</v>
      </c>
      <c r="U471" s="79">
        <f t="shared" si="322"/>
        <v>-7.0422658136613965E-14</v>
      </c>
      <c r="V471" s="79">
        <f t="shared" si="322"/>
        <v>-3.6930135917657507E-14</v>
      </c>
      <c r="W471" s="79">
        <f t="shared" si="322"/>
        <v>-3.5385686992101364E-14</v>
      </c>
      <c r="X471" s="79">
        <f t="shared" si="322"/>
        <v>-1.1812653820792733E-13</v>
      </c>
      <c r="Y471" s="79">
        <f t="shared" si="322"/>
        <v>-8.2805280454326333E-14</v>
      </c>
      <c r="Z471" s="79">
        <f t="shared" si="322"/>
        <v>-7.4198405674124626E-14</v>
      </c>
      <c r="AA471" s="79">
        <f t="shared" si="322"/>
        <v>-8.4133679451045699E-11</v>
      </c>
      <c r="AB471" s="79">
        <f t="shared" si="322"/>
        <v>-1.0355738736445739E-10</v>
      </c>
      <c r="AC471" s="79">
        <f t="shared" si="322"/>
        <v>-4.8366363793280823E-11</v>
      </c>
      <c r="AD471" s="79">
        <f t="shared" si="322"/>
        <v>-1.1860408598834591E-10</v>
      </c>
      <c r="AE471" s="79">
        <f t="shared" si="322"/>
        <v>-1.0670339229068842E-10</v>
      </c>
      <c r="AF471" s="79">
        <f t="shared" si="322"/>
        <v>-1.0883187448343124E-10</v>
      </c>
      <c r="AG471" s="30"/>
    </row>
    <row r="472" spans="1:33" x14ac:dyDescent="0.2">
      <c r="A472" s="44" t="s">
        <v>479</v>
      </c>
      <c r="B472" s="64"/>
      <c r="C472" s="28">
        <f t="shared" ref="C472:AF472" si="323">C471*C249</f>
        <v>-4.0963989102779047E-18</v>
      </c>
      <c r="D472" s="28">
        <f t="shared" si="323"/>
        <v>-1.0325536931989234E-17</v>
      </c>
      <c r="E472" s="28">
        <f t="shared" si="323"/>
        <v>-7.0901361654673342E-18</v>
      </c>
      <c r="F472" s="28">
        <f t="shared" si="323"/>
        <v>-1.1029462480913007E-17</v>
      </c>
      <c r="G472" s="28">
        <f t="shared" si="323"/>
        <v>-1.7832996251646739E-17</v>
      </c>
      <c r="H472" s="28">
        <f t="shared" si="323"/>
        <v>-8.125349273461753E-18</v>
      </c>
      <c r="I472" s="28">
        <f t="shared" si="323"/>
        <v>-8.7403565091813477E-18</v>
      </c>
      <c r="J472" s="28">
        <f t="shared" si="323"/>
        <v>-5.2927991512188691E-18</v>
      </c>
      <c r="K472" s="28">
        <f t="shared" si="323"/>
        <v>-1.1421144025843261E-18</v>
      </c>
      <c r="L472" s="28">
        <f t="shared" si="323"/>
        <v>-1.6863915757808871E-18</v>
      </c>
      <c r="M472" s="28">
        <f t="shared" si="323"/>
        <v>-1.3194301337317718E-18</v>
      </c>
      <c r="N472" s="28">
        <f t="shared" si="323"/>
        <v>-1.7825465729625189E-18</v>
      </c>
      <c r="O472" s="28">
        <f t="shared" si="323"/>
        <v>-8.5354563668967195E-19</v>
      </c>
      <c r="P472" s="28">
        <f t="shared" si="323"/>
        <v>-1.2784810505694846E-18</v>
      </c>
      <c r="Q472" s="28">
        <f t="shared" si="323"/>
        <v>-1.3692642865819693E-18</v>
      </c>
      <c r="R472" s="28">
        <f t="shared" si="323"/>
        <v>-2.1716789183223599E-18</v>
      </c>
      <c r="S472" s="28">
        <f t="shared" si="323"/>
        <v>-2.3217370169773322E-18</v>
      </c>
      <c r="T472" s="28">
        <f t="shared" si="323"/>
        <v>-2.5939848540615825E-18</v>
      </c>
      <c r="U472" s="28">
        <f t="shared" si="323"/>
        <v>-1.8405596237002641E-18</v>
      </c>
      <c r="V472" s="28">
        <f t="shared" si="323"/>
        <v>-1.2940055935576457E-18</v>
      </c>
      <c r="W472" s="28">
        <f t="shared" si="323"/>
        <v>-1.3308695344239573E-18</v>
      </c>
      <c r="X472" s="28">
        <f t="shared" si="323"/>
        <v>-1.2875528350828924E-18</v>
      </c>
      <c r="Y472" s="28">
        <f t="shared" si="323"/>
        <v>-1.7738252933692073E-18</v>
      </c>
      <c r="Z472" s="28">
        <f t="shared" si="323"/>
        <v>-1.6765729216670688E-18</v>
      </c>
      <c r="AA472" s="28">
        <f t="shared" si="323"/>
        <v>-3.943880824744201E-18</v>
      </c>
      <c r="AB472" s="28">
        <f t="shared" si="323"/>
        <v>-5.2040012432115722E-18</v>
      </c>
      <c r="AC472" s="28">
        <f t="shared" si="323"/>
        <v>-3.3076661382964508E-18</v>
      </c>
      <c r="AD472" s="28">
        <f t="shared" si="323"/>
        <v>-5.7499205234794454E-18</v>
      </c>
      <c r="AE472" s="28">
        <f t="shared" si="323"/>
        <v>-5.0542903312865811E-18</v>
      </c>
      <c r="AF472" s="28">
        <f t="shared" si="323"/>
        <v>-7.77114728155083E-18</v>
      </c>
      <c r="AG472" s="28"/>
    </row>
    <row r="473" spans="1:33" x14ac:dyDescent="0.2">
      <c r="A473" s="198" t="s">
        <v>140</v>
      </c>
      <c r="B473" s="212"/>
      <c r="C473" s="79">
        <f>-C162*C172</f>
        <v>-9.0152272498271729E-14</v>
      </c>
      <c r="D473" s="79">
        <f t="shared" ref="D473:AF473" si="324">-D162*D172</f>
        <v>-7.8773830338295672E-14</v>
      </c>
      <c r="E473" s="79">
        <f t="shared" si="324"/>
        <v>-7.3522241649075957E-14</v>
      </c>
      <c r="F473" s="79">
        <f t="shared" si="324"/>
        <v>-8.4025419027515374E-14</v>
      </c>
      <c r="G473" s="79">
        <f t="shared" si="324"/>
        <v>-1.1203389203668719E-13</v>
      </c>
      <c r="H473" s="79">
        <f t="shared" si="324"/>
        <v>-8.9277007716735102E-14</v>
      </c>
      <c r="I473" s="79">
        <f t="shared" si="324"/>
        <v>-6.739538817831964E-14</v>
      </c>
      <c r="J473" s="79">
        <f t="shared" si="324"/>
        <v>-7.52727712121492E-14</v>
      </c>
      <c r="K473" s="79">
        <f t="shared" si="324"/>
        <v>-9.4240112162877881E-14</v>
      </c>
      <c r="L473" s="79">
        <f t="shared" si="324"/>
        <v>-6.85382633911839E-14</v>
      </c>
      <c r="M473" s="79">
        <f t="shared" si="324"/>
        <v>-5.7115219492653262E-14</v>
      </c>
      <c r="N473" s="79">
        <f t="shared" si="324"/>
        <v>-8.3531008508005401E-14</v>
      </c>
      <c r="O473" s="79">
        <f t="shared" si="324"/>
        <v>-3.7838832913882789E-14</v>
      </c>
      <c r="P473" s="79">
        <f t="shared" si="324"/>
        <v>-5.6401279248995098E-14</v>
      </c>
      <c r="Q473" s="79">
        <f t="shared" si="324"/>
        <v>-6.7824323147525755E-14</v>
      </c>
      <c r="R473" s="79">
        <f t="shared" si="324"/>
        <v>-4.6114534238757755E-14</v>
      </c>
      <c r="S473" s="79">
        <f t="shared" si="324"/>
        <v>-4.7854705342107099E-14</v>
      </c>
      <c r="T473" s="79">
        <f t="shared" si="324"/>
        <v>-6.8736758582299289E-14</v>
      </c>
      <c r="U473" s="79">
        <f t="shared" si="324"/>
        <v>-6.2646159720576569E-14</v>
      </c>
      <c r="V473" s="79">
        <f t="shared" si="324"/>
        <v>-6.1776074168901901E-14</v>
      </c>
      <c r="W473" s="79">
        <f t="shared" si="324"/>
        <v>-9.0488897374166147E-14</v>
      </c>
      <c r="X473" s="79">
        <f t="shared" si="324"/>
        <v>-4.350427758373373E-14</v>
      </c>
      <c r="Y473" s="79">
        <f t="shared" si="324"/>
        <v>-3.567350761866166E-14</v>
      </c>
      <c r="Z473" s="79">
        <f t="shared" si="324"/>
        <v>-7.3087186340672658E-14</v>
      </c>
      <c r="AA473" s="79">
        <f t="shared" si="324"/>
        <v>-1.1378442159976042E-13</v>
      </c>
      <c r="AB473" s="79">
        <f t="shared" si="324"/>
        <v>-1.1991127507051674E-13</v>
      </c>
      <c r="AC473" s="79">
        <f t="shared" si="324"/>
        <v>-1.1991127507051674E-13</v>
      </c>
      <c r="AD473" s="79">
        <f t="shared" si="324"/>
        <v>-1.1816074550744351E-13</v>
      </c>
      <c r="AE473" s="79">
        <f t="shared" si="324"/>
        <v>-7.8773830338295672E-14</v>
      </c>
      <c r="AF473" s="79">
        <f t="shared" si="324"/>
        <v>-1.3654130591971249E-13</v>
      </c>
      <c r="AG473" s="30"/>
    </row>
    <row r="474" spans="1:33" x14ac:dyDescent="0.2">
      <c r="A474" s="44" t="s">
        <v>479</v>
      </c>
      <c r="B474" s="64"/>
      <c r="C474" s="28">
        <f t="shared" ref="C474:AF474" si="325">C473*C260</f>
        <v>-8.9752421373478433E-20</v>
      </c>
      <c r="D474" s="28">
        <f t="shared" si="325"/>
        <v>-7.8424445860320948E-20</v>
      </c>
      <c r="E474" s="28">
        <f t="shared" si="325"/>
        <v>-7.3196149469632881E-20</v>
      </c>
      <c r="F474" s="28">
        <f t="shared" si="325"/>
        <v>-8.3652742251009002E-20</v>
      </c>
      <c r="G474" s="28">
        <f t="shared" si="325"/>
        <v>-1.1153698966801203E-19</v>
      </c>
      <c r="H474" s="28">
        <f t="shared" si="325"/>
        <v>-8.8881038641697081E-20</v>
      </c>
      <c r="I474" s="28">
        <f t="shared" si="325"/>
        <v>-6.7096470347163487E-20</v>
      </c>
      <c r="J474" s="28">
        <f t="shared" si="325"/>
        <v>-7.4938914933195574E-20</v>
      </c>
      <c r="K474" s="28">
        <f t="shared" si="325"/>
        <v>-2.9789803587261496E-20</v>
      </c>
      <c r="L474" s="28">
        <f t="shared" si="325"/>
        <v>-2.166531169982654E-20</v>
      </c>
      <c r="M474" s="28">
        <f t="shared" si="325"/>
        <v>-1.8054426416522121E-20</v>
      </c>
      <c r="N474" s="28">
        <f t="shared" si="325"/>
        <v>-2.6404598634163602E-20</v>
      </c>
      <c r="O474" s="28">
        <f t="shared" si="325"/>
        <v>-1.1961057500945905E-20</v>
      </c>
      <c r="P474" s="28">
        <f t="shared" si="325"/>
        <v>-1.7828746086315594E-20</v>
      </c>
      <c r="Q474" s="28">
        <f t="shared" si="325"/>
        <v>-2.1439631369620018E-20</v>
      </c>
      <c r="R474" s="28">
        <f t="shared" si="325"/>
        <v>0</v>
      </c>
      <c r="S474" s="28">
        <f t="shared" si="325"/>
        <v>0</v>
      </c>
      <c r="T474" s="28">
        <f t="shared" si="325"/>
        <v>0</v>
      </c>
      <c r="U474" s="28">
        <f t="shared" si="325"/>
        <v>0</v>
      </c>
      <c r="V474" s="28">
        <f t="shared" si="325"/>
        <v>0</v>
      </c>
      <c r="W474" s="28">
        <f t="shared" si="325"/>
        <v>0</v>
      </c>
      <c r="X474" s="28">
        <f t="shared" si="325"/>
        <v>0</v>
      </c>
      <c r="Y474" s="28">
        <f t="shared" si="325"/>
        <v>0</v>
      </c>
      <c r="Z474" s="28">
        <f t="shared" si="325"/>
        <v>0</v>
      </c>
      <c r="AA474" s="28">
        <f t="shared" si="325"/>
        <v>-1.1327975513157471E-19</v>
      </c>
      <c r="AB474" s="28">
        <f t="shared" si="325"/>
        <v>-1.1937943425404411E-19</v>
      </c>
      <c r="AC474" s="28">
        <f t="shared" si="325"/>
        <v>-1.1937943425404411E-19</v>
      </c>
      <c r="AD474" s="28">
        <f t="shared" si="325"/>
        <v>-1.1763666879048143E-19</v>
      </c>
      <c r="AE474" s="28">
        <f t="shared" si="325"/>
        <v>-7.8424445860320948E-20</v>
      </c>
      <c r="AF474" s="28">
        <f t="shared" si="325"/>
        <v>-1.3593570615788963E-19</v>
      </c>
      <c r="AG474" s="28"/>
    </row>
    <row r="475" spans="1:33" x14ac:dyDescent="0.2">
      <c r="A475" s="198" t="s">
        <v>78</v>
      </c>
      <c r="B475" s="212"/>
      <c r="C475" s="79">
        <f>-C154*C172</f>
        <v>-4.34358659066644E-16</v>
      </c>
      <c r="D475" s="79">
        <f t="shared" ref="D475:AF475" si="326">-D154*D172</f>
        <v>-3.7953669238832964E-16</v>
      </c>
      <c r="E475" s="79">
        <f t="shared" si="326"/>
        <v>-3.5423424622910767E-16</v>
      </c>
      <c r="F475" s="79">
        <f t="shared" si="326"/>
        <v>-4.0483913854755161E-16</v>
      </c>
      <c r="G475" s="79">
        <f t="shared" si="326"/>
        <v>-5.3978551806340225E-16</v>
      </c>
      <c r="H475" s="79">
        <f t="shared" si="326"/>
        <v>-4.3014158470677363E-16</v>
      </c>
      <c r="I475" s="79">
        <f t="shared" si="326"/>
        <v>-3.2471472571001538E-16</v>
      </c>
      <c r="J475" s="79">
        <f t="shared" si="326"/>
        <v>-3.6266839494884836E-16</v>
      </c>
      <c r="K475" s="79">
        <f t="shared" si="326"/>
        <v>-6.2970138811020576E-17</v>
      </c>
      <c r="L475" s="79">
        <f t="shared" si="326"/>
        <v>-4.5796464589833142E-17</v>
      </c>
      <c r="M475" s="79">
        <f t="shared" si="326"/>
        <v>-3.8163720491527621E-17</v>
      </c>
      <c r="N475" s="79">
        <f t="shared" si="326"/>
        <v>-5.5814441218859152E-17</v>
      </c>
      <c r="O475" s="79">
        <f t="shared" si="326"/>
        <v>-2.5283464825637051E-17</v>
      </c>
      <c r="P475" s="79">
        <f t="shared" si="326"/>
        <v>-3.7686673985383525E-17</v>
      </c>
      <c r="Q475" s="79">
        <f t="shared" si="326"/>
        <v>-4.5319418083689051E-17</v>
      </c>
      <c r="R475" s="79">
        <f t="shared" si="326"/>
        <v>-3.951100444004251E-17</v>
      </c>
      <c r="S475" s="79">
        <f t="shared" si="326"/>
        <v>-4.1001985739666751E-17</v>
      </c>
      <c r="T475" s="79">
        <f t="shared" si="326"/>
        <v>-5.8893761335157702E-17</v>
      </c>
      <c r="U475" s="79">
        <f t="shared" si="326"/>
        <v>-5.3675326786472841E-17</v>
      </c>
      <c r="V475" s="79">
        <f t="shared" si="326"/>
        <v>-5.292983613666072E-17</v>
      </c>
      <c r="W475" s="79">
        <f t="shared" si="326"/>
        <v>-7.7531027580460767E-17</v>
      </c>
      <c r="X475" s="79">
        <f t="shared" si="326"/>
        <v>-3.7274532490606143E-17</v>
      </c>
      <c r="Y475" s="79">
        <f t="shared" si="326"/>
        <v>-3.0565116642297035E-17</v>
      </c>
      <c r="Z475" s="79">
        <f t="shared" si="326"/>
        <v>-6.262121458421831E-17</v>
      </c>
      <c r="AA475" s="79">
        <f t="shared" si="326"/>
        <v>-5.4821966678314279E-16</v>
      </c>
      <c r="AB475" s="79">
        <f t="shared" si="326"/>
        <v>-5.7773918730223518E-16</v>
      </c>
      <c r="AC475" s="79">
        <f t="shared" si="326"/>
        <v>-5.7773918730223518E-16</v>
      </c>
      <c r="AD475" s="79">
        <f t="shared" si="326"/>
        <v>-5.6930503858249444E-16</v>
      </c>
      <c r="AE475" s="79">
        <f t="shared" si="326"/>
        <v>-3.7953669238832964E-16</v>
      </c>
      <c r="AF475" s="79">
        <f t="shared" si="326"/>
        <v>-6.5786360013977141E-16</v>
      </c>
      <c r="AG475" s="30"/>
    </row>
    <row r="476" spans="1:33" x14ac:dyDescent="0.2">
      <c r="A476" s="44" t="s">
        <v>479</v>
      </c>
      <c r="B476" s="64"/>
      <c r="C476" s="28">
        <f t="shared" ref="C476:AF476" si="327">C475*C262</f>
        <v>-1.2138293550463359E-22</v>
      </c>
      <c r="D476" s="28">
        <f t="shared" si="327"/>
        <v>-1.0606275917880603E-22</v>
      </c>
      <c r="E476" s="28">
        <f t="shared" si="327"/>
        <v>-9.8991908566885631E-23</v>
      </c>
      <c r="F476" s="28">
        <f t="shared" si="327"/>
        <v>-1.1313360979072643E-22</v>
      </c>
      <c r="G476" s="28">
        <f t="shared" si="327"/>
        <v>-1.5084481305430193E-22</v>
      </c>
      <c r="H476" s="28">
        <f t="shared" si="327"/>
        <v>-1.2020446040264683E-22</v>
      </c>
      <c r="I476" s="28">
        <f t="shared" si="327"/>
        <v>-9.0742582852978497E-23</v>
      </c>
      <c r="J476" s="28">
        <f t="shared" si="327"/>
        <v>-1.013488587708591E-22</v>
      </c>
      <c r="K476" s="28">
        <f t="shared" si="327"/>
        <v>-8.0079528077636948E-24</v>
      </c>
      <c r="L476" s="28">
        <f t="shared" si="327"/>
        <v>-5.8239656783735952E-24</v>
      </c>
      <c r="M476" s="28">
        <f t="shared" si="327"/>
        <v>-4.8533047319779965E-24</v>
      </c>
      <c r="N476" s="28">
        <f t="shared" si="327"/>
        <v>-7.0979581705178202E-24</v>
      </c>
      <c r="O476" s="28">
        <f t="shared" si="327"/>
        <v>-3.2153143849354228E-24</v>
      </c>
      <c r="P476" s="28">
        <f t="shared" si="327"/>
        <v>-4.7926384228282716E-24</v>
      </c>
      <c r="Q476" s="28">
        <f t="shared" si="327"/>
        <v>-5.7632993692238711E-24</v>
      </c>
      <c r="R476" s="28">
        <f t="shared" si="327"/>
        <v>-6.6384943841758617E-24</v>
      </c>
      <c r="S476" s="28">
        <f t="shared" si="327"/>
        <v>-6.8890036062202342E-24</v>
      </c>
      <c r="T476" s="28">
        <f t="shared" si="327"/>
        <v>-9.8951142707526994E-24</v>
      </c>
      <c r="U476" s="28">
        <f t="shared" si="327"/>
        <v>-9.0183319935973973E-24</v>
      </c>
      <c r="V476" s="28">
        <f t="shared" si="327"/>
        <v>-8.893077382575211E-24</v>
      </c>
      <c r="W476" s="28">
        <f t="shared" si="327"/>
        <v>-1.3026479546307351E-23</v>
      </c>
      <c r="X476" s="28">
        <f t="shared" si="327"/>
        <v>-6.2627305511093045E-24</v>
      </c>
      <c r="Y476" s="28">
        <f t="shared" si="327"/>
        <v>-5.1354390519096291E-24</v>
      </c>
      <c r="Z476" s="28">
        <f t="shared" si="327"/>
        <v>-1.0521387325863629E-23</v>
      </c>
      <c r="AA476" s="28">
        <f t="shared" si="327"/>
        <v>-1.5320176325827537E-22</v>
      </c>
      <c r="AB476" s="28">
        <f t="shared" si="327"/>
        <v>-1.6145108897218253E-22</v>
      </c>
      <c r="AC476" s="28">
        <f t="shared" si="327"/>
        <v>-1.6145108897218253E-22</v>
      </c>
      <c r="AD476" s="28">
        <f t="shared" si="327"/>
        <v>-1.5909413876820904E-22</v>
      </c>
      <c r="AE476" s="28">
        <f t="shared" si="327"/>
        <v>-1.0606275917880603E-22</v>
      </c>
      <c r="AF476" s="28">
        <f t="shared" si="327"/>
        <v>-1.8384211590993046E-22</v>
      </c>
      <c r="AG476" s="28"/>
    </row>
    <row r="477" spans="1:33" x14ac:dyDescent="0.2">
      <c r="A477" s="198" t="s">
        <v>79</v>
      </c>
      <c r="B477" s="212"/>
      <c r="C477" s="79">
        <f>C187*C172</f>
        <v>1.585419283954659E-12</v>
      </c>
      <c r="D477" s="79">
        <f t="shared" ref="D477:AF477" si="328">D187*D172</f>
        <v>1.3853178209312552E-12</v>
      </c>
      <c r="E477" s="79">
        <f t="shared" si="328"/>
        <v>1.2929632995358382E-12</v>
      </c>
      <c r="F477" s="79">
        <f t="shared" si="328"/>
        <v>1.4776723423266722E-12</v>
      </c>
      <c r="G477" s="79">
        <f t="shared" si="328"/>
        <v>1.9702297897688967E-12</v>
      </c>
      <c r="H477" s="79">
        <f t="shared" si="328"/>
        <v>1.5700268637220894E-12</v>
      </c>
      <c r="I477" s="79">
        <f t="shared" si="328"/>
        <v>1.1852163579078519E-12</v>
      </c>
      <c r="J477" s="79">
        <f t="shared" si="328"/>
        <v>1.3237481400009774E-12</v>
      </c>
      <c r="K477" s="79">
        <f t="shared" si="328"/>
        <v>2.0574015088108033E-12</v>
      </c>
      <c r="L477" s="79">
        <f t="shared" si="328"/>
        <v>1.4962920064078568E-12</v>
      </c>
      <c r="M477" s="79">
        <f t="shared" si="328"/>
        <v>1.246910005339881E-12</v>
      </c>
      <c r="N477" s="79">
        <f t="shared" si="328"/>
        <v>1.8236058828095759E-12</v>
      </c>
      <c r="O477" s="79">
        <f t="shared" si="328"/>
        <v>8.2607787853767107E-13</v>
      </c>
      <c r="P477" s="79">
        <f t="shared" si="328"/>
        <v>1.2313236302731323E-12</v>
      </c>
      <c r="Q477" s="79">
        <f t="shared" si="328"/>
        <v>1.4807056313411086E-12</v>
      </c>
      <c r="R477" s="79">
        <f t="shared" si="328"/>
        <v>8.2607787853767107E-13</v>
      </c>
      <c r="S477" s="79">
        <f t="shared" si="328"/>
        <v>8.5725062867116798E-13</v>
      </c>
      <c r="T477" s="79">
        <f t="shared" si="328"/>
        <v>1.2313236302731323E-12</v>
      </c>
      <c r="U477" s="79">
        <f t="shared" si="328"/>
        <v>1.1222190048058928E-12</v>
      </c>
      <c r="V477" s="79">
        <f t="shared" si="328"/>
        <v>1.1066326297391443E-12</v>
      </c>
      <c r="W477" s="79">
        <f t="shared" si="328"/>
        <v>1.620983006941845E-12</v>
      </c>
      <c r="X477" s="79">
        <f t="shared" si="328"/>
        <v>7.7931875333742552E-13</v>
      </c>
      <c r="Y477" s="79">
        <f t="shared" si="328"/>
        <v>6.3904137773668895E-13</v>
      </c>
      <c r="Z477" s="79">
        <f t="shared" si="328"/>
        <v>1.3092555056068748E-12</v>
      </c>
      <c r="AA477" s="79">
        <f t="shared" si="328"/>
        <v>2.0010146302340354E-12</v>
      </c>
      <c r="AB477" s="79">
        <f t="shared" si="328"/>
        <v>2.1087615718620218E-12</v>
      </c>
      <c r="AC477" s="79">
        <f t="shared" si="328"/>
        <v>2.1087615718620218E-12</v>
      </c>
      <c r="AD477" s="79">
        <f t="shared" si="328"/>
        <v>2.0779767313968831E-12</v>
      </c>
      <c r="AE477" s="79">
        <f t="shared" si="328"/>
        <v>1.3853178209312552E-12</v>
      </c>
      <c r="AF477" s="79">
        <f t="shared" si="328"/>
        <v>2.4012175562808425E-12</v>
      </c>
      <c r="AG477" s="30"/>
    </row>
    <row r="478" spans="1:33" x14ac:dyDescent="0.2">
      <c r="A478" s="44" t="s">
        <v>479</v>
      </c>
      <c r="B478" s="64"/>
      <c r="C478" s="28">
        <f t="shared" ref="C478:AF478" si="329">C477*C262</f>
        <v>4.4305055896800726E-19</v>
      </c>
      <c r="D478" s="28">
        <f t="shared" si="329"/>
        <v>3.8713155637981212E-19</v>
      </c>
      <c r="E478" s="28">
        <f t="shared" si="329"/>
        <v>3.6132278595449133E-19</v>
      </c>
      <c r="F478" s="28">
        <f t="shared" si="329"/>
        <v>4.1294032680513292E-19</v>
      </c>
      <c r="G478" s="28">
        <f t="shared" si="329"/>
        <v>5.5058710240684399E-19</v>
      </c>
      <c r="H478" s="28">
        <f t="shared" si="329"/>
        <v>4.3874909723045382E-19</v>
      </c>
      <c r="I478" s="28">
        <f t="shared" si="329"/>
        <v>3.3121255379161713E-19</v>
      </c>
      <c r="J478" s="28">
        <f t="shared" si="329"/>
        <v>3.6992570942959831E-19</v>
      </c>
      <c r="K478" s="28">
        <f t="shared" si="329"/>
        <v>2.6164106511855584E-19</v>
      </c>
      <c r="L478" s="28">
        <f t="shared" si="329"/>
        <v>1.902844109953133E-19</v>
      </c>
      <c r="M478" s="28">
        <f t="shared" si="329"/>
        <v>1.5857034249609447E-19</v>
      </c>
      <c r="N478" s="28">
        <f t="shared" si="329"/>
        <v>2.3190912590053814E-19</v>
      </c>
      <c r="O478" s="28">
        <f t="shared" si="329"/>
        <v>1.0505285190366257E-19</v>
      </c>
      <c r="P478" s="28">
        <f t="shared" si="329"/>
        <v>1.5658821321489325E-19</v>
      </c>
      <c r="Q478" s="28">
        <f t="shared" si="329"/>
        <v>1.8830228171411215E-19</v>
      </c>
      <c r="R478" s="28">
        <f t="shared" si="329"/>
        <v>1.3879458230139438E-19</v>
      </c>
      <c r="S478" s="28">
        <f t="shared" si="329"/>
        <v>1.4403211370899417E-19</v>
      </c>
      <c r="T478" s="28">
        <f t="shared" si="329"/>
        <v>2.0688249060019163E-19</v>
      </c>
      <c r="U478" s="28">
        <f t="shared" si="329"/>
        <v>1.8855113067359238E-19</v>
      </c>
      <c r="V478" s="28">
        <f t="shared" si="329"/>
        <v>1.859323649697925E-19</v>
      </c>
      <c r="W478" s="28">
        <f t="shared" si="329"/>
        <v>2.72351633195189E-19</v>
      </c>
      <c r="X478" s="28">
        <f t="shared" si="329"/>
        <v>1.3093828518999471E-19</v>
      </c>
      <c r="Y478" s="28">
        <f t="shared" si="329"/>
        <v>1.0736939385579566E-19</v>
      </c>
      <c r="Z478" s="28">
        <f t="shared" si="329"/>
        <v>2.1997631911919111E-19</v>
      </c>
      <c r="AA478" s="28">
        <f t="shared" si="329"/>
        <v>5.5919002588195088E-19</v>
      </c>
      <c r="AB478" s="28">
        <f t="shared" si="329"/>
        <v>5.8930025804482517E-19</v>
      </c>
      <c r="AC478" s="28">
        <f t="shared" si="329"/>
        <v>5.8930025804482517E-19</v>
      </c>
      <c r="AD478" s="28">
        <f t="shared" si="329"/>
        <v>5.8069733456971828E-19</v>
      </c>
      <c r="AE478" s="28">
        <f t="shared" si="329"/>
        <v>3.8713155637981212E-19</v>
      </c>
      <c r="AF478" s="28">
        <f t="shared" si="329"/>
        <v>6.7102803105834105E-19</v>
      </c>
      <c r="AG478" s="28"/>
    </row>
    <row r="479" spans="1:33" x14ac:dyDescent="0.2">
      <c r="A479" s="198" t="s">
        <v>80</v>
      </c>
      <c r="B479" s="212"/>
      <c r="C479" s="79">
        <f>(2*C16+C187*C14)*C12*C172</f>
        <v>2.1108031509508392E-14</v>
      </c>
      <c r="D479" s="79">
        <f t="shared" ref="D479:AF479" si="330">(2*D16+D187*D14)*D12*D172</f>
        <v>1.399472871637605E-14</v>
      </c>
      <c r="E479" s="79">
        <f t="shared" si="330"/>
        <v>2.1103137157132765E-14</v>
      </c>
      <c r="F479" s="79">
        <f t="shared" si="330"/>
        <v>6.3401225179592276E-14</v>
      </c>
      <c r="G479" s="79">
        <f t="shared" si="330"/>
        <v>5.7423253053841661E-14</v>
      </c>
      <c r="H479" s="79">
        <f t="shared" si="330"/>
        <v>2.8289105327153443E-14</v>
      </c>
      <c r="I479" s="79">
        <f t="shared" si="330"/>
        <v>2.297302645950267E-14</v>
      </c>
      <c r="J479" s="79">
        <f t="shared" si="330"/>
        <v>2.282723974559133E-14</v>
      </c>
      <c r="K479" s="79">
        <f t="shared" si="330"/>
        <v>8.1391521812442231E-15</v>
      </c>
      <c r="L479" s="79">
        <f t="shared" si="330"/>
        <v>6.3091097424420693E-15</v>
      </c>
      <c r="M479" s="79">
        <f t="shared" si="330"/>
        <v>5.8803157242782128E-15</v>
      </c>
      <c r="N479" s="79">
        <f t="shared" si="330"/>
        <v>8.6789975008387292E-15</v>
      </c>
      <c r="O479" s="79">
        <f t="shared" si="330"/>
        <v>2.9923696629294691E-15</v>
      </c>
      <c r="P479" s="79">
        <f t="shared" si="330"/>
        <v>4.9188815979283113E-15</v>
      </c>
      <c r="Q479" s="79">
        <f t="shared" si="330"/>
        <v>1.6936729868844747E-15</v>
      </c>
      <c r="R479" s="79">
        <f t="shared" si="330"/>
        <v>2.3627906288011055E-15</v>
      </c>
      <c r="S479" s="79">
        <f t="shared" si="330"/>
        <v>2.4356054724968029E-15</v>
      </c>
      <c r="T479" s="79">
        <f t="shared" si="330"/>
        <v>2.7210568147237297E-15</v>
      </c>
      <c r="U479" s="79">
        <f t="shared" si="330"/>
        <v>2.54839674989558E-15</v>
      </c>
      <c r="V479" s="79">
        <f t="shared" si="330"/>
        <v>1.445282656700633E-15</v>
      </c>
      <c r="W479" s="79">
        <f t="shared" si="330"/>
        <v>1.8778375867267059E-15</v>
      </c>
      <c r="X479" s="79">
        <f t="shared" si="330"/>
        <v>2.1574634552113011E-15</v>
      </c>
      <c r="Y479" s="79">
        <f t="shared" si="330"/>
        <v>2.3107410967747039E-15</v>
      </c>
      <c r="Z479" s="79">
        <f t="shared" si="330"/>
        <v>2.2299253286656362E-15</v>
      </c>
      <c r="AA479" s="79">
        <f t="shared" si="330"/>
        <v>1.8629279290995572E-12</v>
      </c>
      <c r="AB479" s="79">
        <f t="shared" si="330"/>
        <v>2.293517588442861E-12</v>
      </c>
      <c r="AC479" s="79">
        <f t="shared" si="330"/>
        <v>1.072372850525616E-12</v>
      </c>
      <c r="AD479" s="79">
        <f t="shared" si="330"/>
        <v>2.6319991436576032E-12</v>
      </c>
      <c r="AE479" s="79">
        <f t="shared" si="330"/>
        <v>2.3647292564570859E-12</v>
      </c>
      <c r="AF479" s="79">
        <f t="shared" si="330"/>
        <v>2.4198647144457974E-12</v>
      </c>
      <c r="AG479" s="30"/>
    </row>
    <row r="480" spans="1:33" x14ac:dyDescent="0.2">
      <c r="A480" s="44" t="s">
        <v>479</v>
      </c>
      <c r="B480" s="64"/>
      <c r="C480" s="28">
        <f t="shared" ref="C480:AF480" si="331">C479*C280</f>
        <v>6.3324094528525173E-18</v>
      </c>
      <c r="D480" s="28">
        <f t="shared" si="331"/>
        <v>4.1984186149128143E-18</v>
      </c>
      <c r="E480" s="28">
        <f t="shared" si="331"/>
        <v>6.330941147139829E-18</v>
      </c>
      <c r="F480" s="28">
        <f t="shared" si="331"/>
        <v>1.9020367553877681E-17</v>
      </c>
      <c r="G480" s="28">
        <f t="shared" si="331"/>
        <v>1.7226975916152497E-17</v>
      </c>
      <c r="H480" s="28">
        <f t="shared" si="331"/>
        <v>8.4867315981460329E-18</v>
      </c>
      <c r="I480" s="28">
        <f t="shared" si="331"/>
        <v>6.8919079378508002E-18</v>
      </c>
      <c r="J480" s="28">
        <f t="shared" si="331"/>
        <v>6.8481719236773986E-18</v>
      </c>
      <c r="K480" s="28">
        <f t="shared" si="331"/>
        <v>2.4417456543732668E-18</v>
      </c>
      <c r="L480" s="28">
        <f t="shared" si="331"/>
        <v>1.8927329227326205E-18</v>
      </c>
      <c r="M480" s="28">
        <f t="shared" si="331"/>
        <v>1.7640947172834638E-18</v>
      </c>
      <c r="N480" s="28">
        <f t="shared" si="331"/>
        <v>2.6036992502516184E-18</v>
      </c>
      <c r="O480" s="28">
        <f t="shared" si="331"/>
        <v>8.9771089887884072E-19</v>
      </c>
      <c r="P480" s="28">
        <f t="shared" si="331"/>
        <v>1.4756644793784934E-18</v>
      </c>
      <c r="Q480" s="28">
        <f t="shared" si="331"/>
        <v>5.0810189606534233E-19</v>
      </c>
      <c r="R480" s="28">
        <f t="shared" si="331"/>
        <v>2.435678929178924E-19</v>
      </c>
      <c r="S480" s="28">
        <f t="shared" si="331"/>
        <v>2.408596452895884E-19</v>
      </c>
      <c r="T480" s="28">
        <f t="shared" si="331"/>
        <v>2.6010931982587004E-19</v>
      </c>
      <c r="U480" s="28">
        <f t="shared" si="331"/>
        <v>2.6604929956530159E-19</v>
      </c>
      <c r="V480" s="28">
        <f t="shared" si="331"/>
        <v>1.594549212533149E-19</v>
      </c>
      <c r="W480" s="28">
        <f t="shared" si="331"/>
        <v>1.752121513542467E-19</v>
      </c>
      <c r="X480" s="28">
        <f t="shared" si="331"/>
        <v>2.1083265826516096E-19</v>
      </c>
      <c r="Y480" s="28">
        <f t="shared" si="331"/>
        <v>2.5291469245123677E-19</v>
      </c>
      <c r="Z480" s="28">
        <f t="shared" si="331"/>
        <v>2.243030076935413E-19</v>
      </c>
      <c r="AA480" s="28">
        <f t="shared" si="331"/>
        <v>3.7258558581991147E-16</v>
      </c>
      <c r="AB480" s="28">
        <f t="shared" si="331"/>
        <v>4.5870351768857227E-16</v>
      </c>
      <c r="AC480" s="28">
        <f t="shared" si="331"/>
        <v>2.1447457010512321E-16</v>
      </c>
      <c r="AD480" s="28">
        <f t="shared" si="331"/>
        <v>5.263998287315207E-16</v>
      </c>
      <c r="AE480" s="28">
        <f t="shared" si="331"/>
        <v>4.7294585129141725E-16</v>
      </c>
      <c r="AF480" s="28">
        <f t="shared" si="331"/>
        <v>4.839729428891595E-16</v>
      </c>
      <c r="AG480" s="28"/>
    </row>
    <row r="481" spans="1:33" x14ac:dyDescent="0.2">
      <c r="A481" s="198" t="s">
        <v>81</v>
      </c>
      <c r="B481" s="212"/>
      <c r="C481" s="79">
        <f>(C187-C200)/C198</f>
        <v>4.7430116929212951E-3</v>
      </c>
      <c r="D481" s="79">
        <f t="shared" ref="D481:AF481" si="332">(D187-D200)/D198</f>
        <v>4.7430116929212951E-3</v>
      </c>
      <c r="E481" s="79">
        <f t="shared" si="332"/>
        <v>4.7430116929212951E-3</v>
      </c>
      <c r="F481" s="79">
        <f t="shared" si="332"/>
        <v>4.7430116929212951E-3</v>
      </c>
      <c r="G481" s="79">
        <f t="shared" si="332"/>
        <v>4.7430116929212951E-3</v>
      </c>
      <c r="H481" s="79">
        <f t="shared" si="332"/>
        <v>4.7430116929212951E-3</v>
      </c>
      <c r="I481" s="79">
        <f t="shared" si="332"/>
        <v>4.7430116929212951E-3</v>
      </c>
      <c r="J481" s="79">
        <f t="shared" si="332"/>
        <v>4.7430116929212951E-3</v>
      </c>
      <c r="K481" s="79">
        <f t="shared" si="332"/>
        <v>4.7430116929212951E-3</v>
      </c>
      <c r="L481" s="79">
        <f t="shared" si="332"/>
        <v>4.7430116929212951E-3</v>
      </c>
      <c r="M481" s="79">
        <f t="shared" si="332"/>
        <v>4.7430116929212951E-3</v>
      </c>
      <c r="N481" s="79">
        <f t="shared" si="332"/>
        <v>4.7430116929212951E-3</v>
      </c>
      <c r="O481" s="79">
        <f t="shared" si="332"/>
        <v>4.7430116929212951E-3</v>
      </c>
      <c r="P481" s="79">
        <f t="shared" si="332"/>
        <v>4.7430116929212951E-3</v>
      </c>
      <c r="Q481" s="79">
        <f t="shared" si="332"/>
        <v>4.7430116929212951E-3</v>
      </c>
      <c r="R481" s="79">
        <f t="shared" si="332"/>
        <v>4.7430116929212951E-3</v>
      </c>
      <c r="S481" s="79">
        <f t="shared" si="332"/>
        <v>4.7430116929212951E-3</v>
      </c>
      <c r="T481" s="79">
        <f t="shared" si="332"/>
        <v>4.7430116929212951E-3</v>
      </c>
      <c r="U481" s="79">
        <f t="shared" si="332"/>
        <v>4.7430116929212951E-3</v>
      </c>
      <c r="V481" s="79">
        <f t="shared" si="332"/>
        <v>4.7430116929212951E-3</v>
      </c>
      <c r="W481" s="79">
        <f t="shared" si="332"/>
        <v>4.7430116929212951E-3</v>
      </c>
      <c r="X481" s="79">
        <f t="shared" si="332"/>
        <v>4.7430116929212951E-3</v>
      </c>
      <c r="Y481" s="79">
        <f t="shared" si="332"/>
        <v>4.7430116929212951E-3</v>
      </c>
      <c r="Z481" s="79">
        <f t="shared" si="332"/>
        <v>4.7430116929212951E-3</v>
      </c>
      <c r="AA481" s="79">
        <f t="shared" si="332"/>
        <v>4.7430116929212951E-3</v>
      </c>
      <c r="AB481" s="79">
        <f t="shared" si="332"/>
        <v>4.7430116929212951E-3</v>
      </c>
      <c r="AC481" s="79">
        <f t="shared" si="332"/>
        <v>4.7430116929212951E-3</v>
      </c>
      <c r="AD481" s="79">
        <f t="shared" si="332"/>
        <v>4.7430116929212951E-3</v>
      </c>
      <c r="AE481" s="79">
        <f t="shared" si="332"/>
        <v>4.7430116929212951E-3</v>
      </c>
      <c r="AF481" s="79">
        <f t="shared" si="332"/>
        <v>4.7430116929212951E-3</v>
      </c>
      <c r="AG481" s="30"/>
    </row>
    <row r="482" spans="1:33" x14ac:dyDescent="0.2">
      <c r="A482" s="44" t="s">
        <v>479</v>
      </c>
      <c r="B482" s="64"/>
      <c r="C482" s="28">
        <f t="shared" ref="C482:AF482" si="333">C481*C278</f>
        <v>7.1436338808796181E-19</v>
      </c>
      <c r="D482" s="28">
        <f t="shared" si="333"/>
        <v>7.1436338808796181E-19</v>
      </c>
      <c r="E482" s="28">
        <f t="shared" si="333"/>
        <v>7.1436338808796181E-19</v>
      </c>
      <c r="F482" s="28">
        <f t="shared" si="333"/>
        <v>7.1436338808796181E-19</v>
      </c>
      <c r="G482" s="28">
        <f t="shared" si="333"/>
        <v>7.1436338808796181E-19</v>
      </c>
      <c r="H482" s="28">
        <f t="shared" si="333"/>
        <v>7.1436338808796181E-19</v>
      </c>
      <c r="I482" s="28">
        <f t="shared" si="333"/>
        <v>7.1436338808796181E-19</v>
      </c>
      <c r="J482" s="28">
        <f t="shared" si="333"/>
        <v>7.1436338808796181E-19</v>
      </c>
      <c r="K482" s="28">
        <f t="shared" si="333"/>
        <v>4.7890848429608385E-19</v>
      </c>
      <c r="L482" s="28">
        <f t="shared" si="333"/>
        <v>5.8140206102028173E-19</v>
      </c>
      <c r="M482" s="28">
        <f t="shared" si="333"/>
        <v>5.7004962986073209E-19</v>
      </c>
      <c r="N482" s="28">
        <f t="shared" si="333"/>
        <v>6.6961317967083198E-19</v>
      </c>
      <c r="O482" s="28">
        <f t="shared" si="333"/>
        <v>4.892619757645503E-19</v>
      </c>
      <c r="P482" s="28">
        <f t="shared" si="333"/>
        <v>4.6056373173055233E-19</v>
      </c>
      <c r="Q482" s="28">
        <f t="shared" si="333"/>
        <v>3.571759137779877E-19</v>
      </c>
      <c r="R482" s="28">
        <f t="shared" si="333"/>
        <v>6.8930050280376892E-19</v>
      </c>
      <c r="S482" s="28">
        <f t="shared" si="333"/>
        <v>7.1436338808796181E-19</v>
      </c>
      <c r="T482" s="28">
        <f t="shared" si="333"/>
        <v>7.1436338808796181E-19</v>
      </c>
      <c r="U482" s="28">
        <f t="shared" si="333"/>
        <v>7.1436338808796181E-19</v>
      </c>
      <c r="V482" s="28">
        <f t="shared" si="333"/>
        <v>4.8325445901091749E-19</v>
      </c>
      <c r="W482" s="28">
        <f t="shared" si="333"/>
        <v>6.4422346529660756E-19</v>
      </c>
      <c r="X482" s="28">
        <f t="shared" si="333"/>
        <v>6.163126250830187E-19</v>
      </c>
      <c r="Y482" s="28">
        <f t="shared" si="333"/>
        <v>7.1436338808796181E-19</v>
      </c>
      <c r="Z482" s="28">
        <f t="shared" si="333"/>
        <v>7.1436338808796181E-19</v>
      </c>
      <c r="AA482" s="28">
        <f t="shared" si="333"/>
        <v>7.1436338808796181E-19</v>
      </c>
      <c r="AB482" s="28">
        <f t="shared" si="333"/>
        <v>7.1436338808796181E-19</v>
      </c>
      <c r="AC482" s="28">
        <f t="shared" si="333"/>
        <v>7.1436338808796181E-19</v>
      </c>
      <c r="AD482" s="28">
        <f t="shared" si="333"/>
        <v>7.1436338808796181E-19</v>
      </c>
      <c r="AE482" s="28">
        <f t="shared" si="333"/>
        <v>7.1436338808796181E-19</v>
      </c>
      <c r="AF482" s="28">
        <f t="shared" si="333"/>
        <v>7.1436338808796181E-19</v>
      </c>
      <c r="AG482" s="28"/>
    </row>
    <row r="483" spans="1:33" x14ac:dyDescent="0.2">
      <c r="A483" s="198" t="s">
        <v>82</v>
      </c>
      <c r="B483" s="212"/>
      <c r="C483" s="79">
        <f>(-C187*C230)/(C198*C198)</f>
        <v>-2.891356860273315E-17</v>
      </c>
      <c r="D483" s="79">
        <f t="shared" ref="D483:AF483" si="334">(-D187*D230)/(D198*D198)</f>
        <v>-2.891356860273315E-17</v>
      </c>
      <c r="E483" s="79">
        <f t="shared" si="334"/>
        <v>-2.891356860273315E-17</v>
      </c>
      <c r="F483" s="79">
        <f t="shared" si="334"/>
        <v>-2.891356860273315E-17</v>
      </c>
      <c r="G483" s="79">
        <f t="shared" si="334"/>
        <v>-2.891356860273315E-17</v>
      </c>
      <c r="H483" s="79">
        <f t="shared" si="334"/>
        <v>-2.891356860273315E-17</v>
      </c>
      <c r="I483" s="79">
        <f t="shared" si="334"/>
        <v>-2.891356860273315E-17</v>
      </c>
      <c r="J483" s="79">
        <f t="shared" si="334"/>
        <v>-2.891356860273315E-17</v>
      </c>
      <c r="K483" s="79">
        <f t="shared" si="334"/>
        <v>-1.9383626801183093E-17</v>
      </c>
      <c r="L483" s="79">
        <f t="shared" si="334"/>
        <v>-2.3532012778642634E-17</v>
      </c>
      <c r="M483" s="79">
        <f t="shared" si="334"/>
        <v>-2.3072527728578693E-17</v>
      </c>
      <c r="N483" s="79">
        <f t="shared" si="334"/>
        <v>-2.7102322054224471E-17</v>
      </c>
      <c r="O483" s="79">
        <f t="shared" si="334"/>
        <v>-1.9802680172118801E-17</v>
      </c>
      <c r="P483" s="79">
        <f t="shared" si="334"/>
        <v>-1.8641130376186648E-17</v>
      </c>
      <c r="Q483" s="79">
        <f t="shared" si="334"/>
        <v>-1.4456550347443235E-17</v>
      </c>
      <c r="R483" s="79">
        <f t="shared" si="334"/>
        <v>-2.7899158478795345E-17</v>
      </c>
      <c r="S483" s="79">
        <f t="shared" si="334"/>
        <v>-2.891356860273315E-17</v>
      </c>
      <c r="T483" s="79">
        <f t="shared" si="334"/>
        <v>-2.891356860273315E-17</v>
      </c>
      <c r="U483" s="79">
        <f t="shared" si="334"/>
        <v>-2.891356860273315E-17</v>
      </c>
      <c r="V483" s="79">
        <f t="shared" si="334"/>
        <v>-1.9559528366350668E-17</v>
      </c>
      <c r="W483" s="79">
        <f t="shared" si="334"/>
        <v>-2.6074683655330844E-17</v>
      </c>
      <c r="X483" s="79">
        <f t="shared" si="334"/>
        <v>-2.4945003709896475E-17</v>
      </c>
      <c r="Y483" s="79">
        <f t="shared" si="334"/>
        <v>-2.891356860273315E-17</v>
      </c>
      <c r="Z483" s="79">
        <f t="shared" si="334"/>
        <v>-2.891356860273315E-17</v>
      </c>
      <c r="AA483" s="79">
        <f t="shared" si="334"/>
        <v>-2.891356860273315E-17</v>
      </c>
      <c r="AB483" s="79">
        <f t="shared" si="334"/>
        <v>-2.891356860273315E-17</v>
      </c>
      <c r="AC483" s="79">
        <f t="shared" si="334"/>
        <v>-2.891356860273315E-17</v>
      </c>
      <c r="AD483" s="79">
        <f t="shared" si="334"/>
        <v>-2.891356860273315E-17</v>
      </c>
      <c r="AE483" s="79">
        <f t="shared" si="334"/>
        <v>-2.891356860273315E-17</v>
      </c>
      <c r="AF483" s="79">
        <f t="shared" si="334"/>
        <v>-2.891356860273315E-17</v>
      </c>
      <c r="AG483" s="30"/>
    </row>
    <row r="484" spans="1:33" x14ac:dyDescent="0.2">
      <c r="A484" s="44" t="s">
        <v>479</v>
      </c>
      <c r="B484" s="64"/>
      <c r="C484" s="28">
        <f t="shared" ref="C484:AF484" si="335">C483*C273</f>
        <v>-3.1672289672443275E-18</v>
      </c>
      <c r="D484" s="28">
        <f t="shared" si="335"/>
        <v>-3.1672289672443275E-18</v>
      </c>
      <c r="E484" s="28">
        <f t="shared" si="335"/>
        <v>-3.1672289672443275E-18</v>
      </c>
      <c r="F484" s="28">
        <f t="shared" si="335"/>
        <v>-3.1672289672443275E-18</v>
      </c>
      <c r="G484" s="28">
        <f t="shared" si="335"/>
        <v>-3.1672289672443275E-18</v>
      </c>
      <c r="H484" s="28">
        <f t="shared" si="335"/>
        <v>-3.1672289672443275E-18</v>
      </c>
      <c r="I484" s="28">
        <f t="shared" si="335"/>
        <v>-3.1672289672443275E-18</v>
      </c>
      <c r="J484" s="28">
        <f t="shared" si="335"/>
        <v>-3.1672289672443275E-18</v>
      </c>
      <c r="K484" s="28">
        <f t="shared" si="335"/>
        <v>-2.1233070583047046E-18</v>
      </c>
      <c r="L484" s="28">
        <f t="shared" si="335"/>
        <v>-2.5777265184428087E-18</v>
      </c>
      <c r="M484" s="28">
        <f t="shared" si="335"/>
        <v>-2.5273939434302363E-18</v>
      </c>
      <c r="N484" s="28">
        <f t="shared" si="335"/>
        <v>-2.9688227236540526E-18</v>
      </c>
      <c r="O484" s="28">
        <f t="shared" si="335"/>
        <v>-2.1692106959180669E-18</v>
      </c>
      <c r="P484" s="28">
        <f t="shared" si="335"/>
        <v>-2.0419730584226632E-18</v>
      </c>
      <c r="Q484" s="28">
        <f t="shared" si="335"/>
        <v>-1.5835888560127467E-18</v>
      </c>
      <c r="R484" s="28">
        <f t="shared" si="335"/>
        <v>-3.0561091959927766E-18</v>
      </c>
      <c r="S484" s="28">
        <f t="shared" si="335"/>
        <v>-3.1672289672443275E-18</v>
      </c>
      <c r="T484" s="28">
        <f t="shared" si="335"/>
        <v>-3.1672289672443275E-18</v>
      </c>
      <c r="U484" s="28">
        <f t="shared" si="335"/>
        <v>-3.1672289672443275E-18</v>
      </c>
      <c r="V484" s="28">
        <f t="shared" si="335"/>
        <v>-2.1425755387969294E-18</v>
      </c>
      <c r="W484" s="28">
        <f t="shared" si="335"/>
        <v>-2.8562539103903447E-18</v>
      </c>
      <c r="X484" s="28">
        <f t="shared" si="335"/>
        <v>-2.7325073367295444E-18</v>
      </c>
      <c r="Y484" s="28">
        <f t="shared" si="335"/>
        <v>-3.1672289672443275E-18</v>
      </c>
      <c r="Z484" s="28">
        <f t="shared" si="335"/>
        <v>-3.1672289672443275E-18</v>
      </c>
      <c r="AA484" s="28">
        <f t="shared" si="335"/>
        <v>-3.1672289672443275E-18</v>
      </c>
      <c r="AB484" s="28">
        <f t="shared" si="335"/>
        <v>-3.1672289672443275E-18</v>
      </c>
      <c r="AC484" s="28">
        <f t="shared" si="335"/>
        <v>-3.1672289672443275E-18</v>
      </c>
      <c r="AD484" s="28">
        <f t="shared" si="335"/>
        <v>-3.1672289672443275E-18</v>
      </c>
      <c r="AE484" s="28">
        <f t="shared" si="335"/>
        <v>-3.1672289672443275E-18</v>
      </c>
      <c r="AF484" s="28">
        <f t="shared" si="335"/>
        <v>-3.1672289672443275E-18</v>
      </c>
      <c r="AG484" s="28"/>
    </row>
    <row r="485" spans="1:33" x14ac:dyDescent="0.2">
      <c r="A485" s="198" t="s">
        <v>83</v>
      </c>
      <c r="B485" s="212"/>
      <c r="C485" s="79">
        <f>((-C14*C12*C172*C185*(1-C222))+(C158*C172*C185)+((C230/C198)*C185))</f>
        <v>-6.6211207558445399E-15</v>
      </c>
      <c r="D485" s="79">
        <f t="shared" ref="D485:AF485" si="336">((-D14*D12*D172*D185*(1-D222))+(D158*D172*D185)+((D230/D198)*D185))</f>
        <v>-4.4967400199145811E-15</v>
      </c>
      <c r="E485" s="79">
        <f t="shared" si="336"/>
        <v>-7.2890125764638608E-15</v>
      </c>
      <c r="F485" s="79">
        <f t="shared" si="336"/>
        <v>-2.3972649576544108E-14</v>
      </c>
      <c r="G485" s="79">
        <f t="shared" si="336"/>
        <v>-2.1453875500720772E-14</v>
      </c>
      <c r="H485" s="79">
        <f t="shared" si="336"/>
        <v>-1.0046937552083979E-14</v>
      </c>
      <c r="I485" s="79">
        <f t="shared" si="336"/>
        <v>-8.0187322033286582E-15</v>
      </c>
      <c r="J485" s="79">
        <f t="shared" si="336"/>
        <v>-7.9162151695008743E-15</v>
      </c>
      <c r="K485" s="79">
        <f t="shared" si="336"/>
        <v>4.9303806576313238E-32</v>
      </c>
      <c r="L485" s="79">
        <f t="shared" si="336"/>
        <v>0</v>
      </c>
      <c r="M485" s="79">
        <f t="shared" si="336"/>
        <v>9.8607613152626476E-32</v>
      </c>
      <c r="N485" s="79">
        <f t="shared" si="336"/>
        <v>9.8607613152626476E-32</v>
      </c>
      <c r="O485" s="79">
        <f t="shared" si="336"/>
        <v>0</v>
      </c>
      <c r="P485" s="79">
        <f t="shared" si="336"/>
        <v>-9.8607613152626476E-32</v>
      </c>
      <c r="Q485" s="79">
        <f t="shared" si="336"/>
        <v>4.9303806576313238E-32</v>
      </c>
      <c r="R485" s="79">
        <f t="shared" si="336"/>
        <v>9.8607613152626476E-32</v>
      </c>
      <c r="S485" s="79">
        <f t="shared" si="336"/>
        <v>-1.2682422689439817E-17</v>
      </c>
      <c r="T485" s="79">
        <f t="shared" si="336"/>
        <v>-1.2384100611933867E-16</v>
      </c>
      <c r="U485" s="79">
        <f t="shared" si="336"/>
        <v>-1.6782668381857983E-16</v>
      </c>
      <c r="V485" s="79">
        <f t="shared" si="336"/>
        <v>1.9721522630525295E-31</v>
      </c>
      <c r="W485" s="79">
        <f t="shared" si="336"/>
        <v>9.8607613152626476E-32</v>
      </c>
      <c r="X485" s="79">
        <f t="shared" si="336"/>
        <v>9.8607613152626476E-32</v>
      </c>
      <c r="Y485" s="79">
        <f t="shared" si="336"/>
        <v>-7.7042067549108157E-17</v>
      </c>
      <c r="Z485" s="79">
        <f t="shared" si="336"/>
        <v>-1.3618543672835873E-17</v>
      </c>
      <c r="AA485" s="79">
        <f t="shared" si="336"/>
        <v>-1.1125460695912125E-15</v>
      </c>
      <c r="AB485" s="79">
        <f t="shared" si="336"/>
        <v>-9.1520980724419506E-16</v>
      </c>
      <c r="AC485" s="79">
        <f t="shared" si="336"/>
        <v>-2.6499951375651033E-16</v>
      </c>
      <c r="AD485" s="79">
        <f t="shared" si="336"/>
        <v>-3.3346825851968874E-15</v>
      </c>
      <c r="AE485" s="79">
        <f t="shared" si="336"/>
        <v>-2.9766281210694413E-15</v>
      </c>
      <c r="AF485" s="79">
        <f t="shared" si="336"/>
        <v>-5.0561106558012325E-15</v>
      </c>
      <c r="AG485" s="30"/>
    </row>
    <row r="486" spans="1:33" x14ac:dyDescent="0.2">
      <c r="A486" s="44" t="s">
        <v>479</v>
      </c>
      <c r="B486" s="64"/>
      <c r="C486" s="28">
        <f t="shared" ref="C486:AF486" si="337">C485*C271</f>
        <v>-7.9851793719525182E-18</v>
      </c>
      <c r="D486" s="28">
        <f t="shared" si="337"/>
        <v>-5.4231416360076957E-18</v>
      </c>
      <c r="E486" s="28">
        <f t="shared" si="337"/>
        <v>-8.7906677757091638E-18</v>
      </c>
      <c r="F486" s="28">
        <f t="shared" si="337"/>
        <v>-2.891140547779504E-17</v>
      </c>
      <c r="G486" s="28">
        <f t="shared" si="337"/>
        <v>-2.5873722956279419E-17</v>
      </c>
      <c r="H486" s="28">
        <f t="shared" si="337"/>
        <v>-1.2116770173898305E-17</v>
      </c>
      <c r="I486" s="28">
        <f t="shared" si="337"/>
        <v>-9.6707215198741765E-18</v>
      </c>
      <c r="J486" s="28">
        <f t="shared" si="337"/>
        <v>-9.547084308897051E-18</v>
      </c>
      <c r="K486" s="28">
        <f t="shared" si="337"/>
        <v>0</v>
      </c>
      <c r="L486" s="28">
        <f t="shared" si="337"/>
        <v>0</v>
      </c>
      <c r="M486" s="28">
        <f t="shared" si="337"/>
        <v>0</v>
      </c>
      <c r="N486" s="28">
        <f t="shared" si="337"/>
        <v>0</v>
      </c>
      <c r="O486" s="28">
        <f t="shared" si="337"/>
        <v>0</v>
      </c>
      <c r="P486" s="28">
        <f t="shared" si="337"/>
        <v>0</v>
      </c>
      <c r="Q486" s="28">
        <f t="shared" si="337"/>
        <v>0</v>
      </c>
      <c r="R486" s="28">
        <f t="shared" si="337"/>
        <v>0</v>
      </c>
      <c r="S486" s="28">
        <f t="shared" si="337"/>
        <v>-1.5295208134771435E-20</v>
      </c>
      <c r="T486" s="28">
        <f t="shared" si="337"/>
        <v>-1.4935426854933611E-19</v>
      </c>
      <c r="U486" s="28">
        <f t="shared" si="337"/>
        <v>-2.0240171159971312E-19</v>
      </c>
      <c r="V486" s="28">
        <f t="shared" si="337"/>
        <v>0</v>
      </c>
      <c r="W486" s="28">
        <f t="shared" si="337"/>
        <v>0</v>
      </c>
      <c r="X486" s="28">
        <f t="shared" si="337"/>
        <v>0</v>
      </c>
      <c r="Y486" s="28">
        <f t="shared" si="337"/>
        <v>-9.2913987110516216E-20</v>
      </c>
      <c r="Z486" s="28">
        <f t="shared" si="337"/>
        <v>-1.6424185273523623E-20</v>
      </c>
      <c r="AA486" s="28">
        <f t="shared" si="337"/>
        <v>-1.3417486635332389E-18</v>
      </c>
      <c r="AB486" s="28">
        <f t="shared" si="337"/>
        <v>-1.1037579200415624E-18</v>
      </c>
      <c r="AC486" s="28">
        <f t="shared" si="337"/>
        <v>-3.1959372572355751E-19</v>
      </c>
      <c r="AD486" s="28">
        <f t="shared" si="337"/>
        <v>-4.021681460471568E-18</v>
      </c>
      <c r="AE486" s="28">
        <f t="shared" si="337"/>
        <v>-3.5898619503890474E-18</v>
      </c>
      <c r="AF486" s="28">
        <f t="shared" si="337"/>
        <v>-6.0977517250949949E-18</v>
      </c>
      <c r="AG486" s="28"/>
    </row>
    <row r="487" spans="1:33" x14ac:dyDescent="0.2">
      <c r="A487" s="198" t="s">
        <v>84</v>
      </c>
      <c r="B487" s="212"/>
      <c r="C487" s="79">
        <f>((-C14*C12*C172*C191*(1-C222))+(C158*C172*C191)+((C230/C198)*C191))</f>
        <v>-2.9995295071084462E-16</v>
      </c>
      <c r="D487" s="79">
        <f t="shared" ref="D487:AF487" si="338">((-D14*D12*D172*D191*(1-D222))+(D158*D172*D191)+((D230/D198)*D191))</f>
        <v>-2.0371331188338624E-16</v>
      </c>
      <c r="E487" s="79">
        <f t="shared" si="338"/>
        <v>-3.3021008235635408E-16</v>
      </c>
      <c r="F487" s="79">
        <f t="shared" si="338"/>
        <v>-1.0860196093681271E-15</v>
      </c>
      <c r="G487" s="79">
        <f t="shared" si="338"/>
        <v>-9.7191298843838644E-16</v>
      </c>
      <c r="H487" s="79">
        <f t="shared" si="338"/>
        <v>-4.5515082347577377E-16</v>
      </c>
      <c r="I487" s="79">
        <f t="shared" si="338"/>
        <v>-3.6326816471748659E-16</v>
      </c>
      <c r="J487" s="79">
        <f t="shared" si="338"/>
        <v>-3.586238925574261E-16</v>
      </c>
      <c r="K487" s="79">
        <f t="shared" si="338"/>
        <v>0</v>
      </c>
      <c r="L487" s="79">
        <f t="shared" si="338"/>
        <v>3.0814879110195774E-33</v>
      </c>
      <c r="M487" s="79">
        <f t="shared" si="338"/>
        <v>3.0814879110195774E-33</v>
      </c>
      <c r="N487" s="79">
        <f t="shared" si="338"/>
        <v>3.0814879110195774E-33</v>
      </c>
      <c r="O487" s="79">
        <f t="shared" si="338"/>
        <v>3.0814879110195774E-33</v>
      </c>
      <c r="P487" s="79">
        <f t="shared" si="338"/>
        <v>-3.0814879110195774E-33</v>
      </c>
      <c r="Q487" s="79">
        <f t="shared" si="338"/>
        <v>3.0814879110195774E-33</v>
      </c>
      <c r="R487" s="79">
        <f t="shared" si="338"/>
        <v>3.0814879110195774E-33</v>
      </c>
      <c r="S487" s="79">
        <f t="shared" si="338"/>
        <v>-5.7454474070748241E-19</v>
      </c>
      <c r="T487" s="79">
        <f t="shared" si="338"/>
        <v>-5.610300215670561E-18</v>
      </c>
      <c r="U487" s="79">
        <f t="shared" si="338"/>
        <v>-7.6029589061584675E-18</v>
      </c>
      <c r="V487" s="79">
        <f t="shared" si="338"/>
        <v>6.1629758220391547E-33</v>
      </c>
      <c r="W487" s="79">
        <f t="shared" si="338"/>
        <v>6.1629758220391547E-33</v>
      </c>
      <c r="X487" s="79">
        <f t="shared" si="338"/>
        <v>-3.0814879110195774E-33</v>
      </c>
      <c r="Y487" s="79">
        <f t="shared" si="338"/>
        <v>-3.4901939327749962E-18</v>
      </c>
      <c r="Z487" s="79">
        <f t="shared" si="338"/>
        <v>-6.1695330891614524E-19</v>
      </c>
      <c r="AA487" s="79">
        <f t="shared" si="338"/>
        <v>-5.0401055754958996E-17</v>
      </c>
      <c r="AB487" s="79">
        <f t="shared" si="338"/>
        <v>-4.146124082695181E-17</v>
      </c>
      <c r="AC487" s="79">
        <f t="shared" si="338"/>
        <v>-1.2005125570023753E-17</v>
      </c>
      <c r="AD487" s="79">
        <f t="shared" si="338"/>
        <v>-1.5106927029399723E-16</v>
      </c>
      <c r="AE487" s="79">
        <f t="shared" si="338"/>
        <v>-1.3484852806762795E-16</v>
      </c>
      <c r="AF487" s="79">
        <f t="shared" si="338"/>
        <v>-2.2905416866010297E-16</v>
      </c>
      <c r="AG487" s="30"/>
    </row>
    <row r="488" spans="1:33" x14ac:dyDescent="0.2">
      <c r="A488" s="44" t="s">
        <v>479</v>
      </c>
      <c r="B488" s="64"/>
      <c r="C488" s="28">
        <f t="shared" ref="C488:AF488" si="339">C487*C266</f>
        <v>-1.186364643746985E-20</v>
      </c>
      <c r="D488" s="28">
        <f t="shared" si="339"/>
        <v>-8.0572059753474611E-21</v>
      </c>
      <c r="E488" s="28">
        <f t="shared" si="339"/>
        <v>-1.3060367160515322E-20</v>
      </c>
      <c r="F488" s="28">
        <f t="shared" si="339"/>
        <v>-4.2953912069106243E-20</v>
      </c>
      <c r="G488" s="28">
        <f t="shared" si="339"/>
        <v>-3.8440802250794006E-20</v>
      </c>
      <c r="H488" s="28">
        <f t="shared" si="339"/>
        <v>-1.8001984753419555E-20</v>
      </c>
      <c r="I488" s="28">
        <f t="shared" si="339"/>
        <v>-1.436787022092464E-20</v>
      </c>
      <c r="J488" s="28">
        <f t="shared" si="339"/>
        <v>-1.4184181403275846E-20</v>
      </c>
      <c r="K488" s="28">
        <f t="shared" si="339"/>
        <v>0</v>
      </c>
      <c r="L488" s="28">
        <f t="shared" si="339"/>
        <v>7.258527658896942E-37</v>
      </c>
      <c r="M488" s="28">
        <f t="shared" si="339"/>
        <v>7.258527658896942E-37</v>
      </c>
      <c r="N488" s="28">
        <f t="shared" si="339"/>
        <v>7.258527658896942E-37</v>
      </c>
      <c r="O488" s="28">
        <f t="shared" si="339"/>
        <v>7.258527658896942E-37</v>
      </c>
      <c r="P488" s="28">
        <f t="shared" si="339"/>
        <v>-7.258527658896942E-37</v>
      </c>
      <c r="Q488" s="28">
        <f t="shared" si="339"/>
        <v>7.258527658896942E-37</v>
      </c>
      <c r="R488" s="28">
        <f t="shared" si="339"/>
        <v>6.1366551981268401E-37</v>
      </c>
      <c r="S488" s="28">
        <f t="shared" si="339"/>
        <v>-1.1441819898142737E-22</v>
      </c>
      <c r="T488" s="28">
        <f t="shared" si="339"/>
        <v>-1.1172679879232585E-21</v>
      </c>
      <c r="U488" s="28">
        <f t="shared" si="339"/>
        <v>-1.5140976904622908E-21</v>
      </c>
      <c r="V488" s="28">
        <f t="shared" si="339"/>
        <v>1.227331039625368E-36</v>
      </c>
      <c r="W488" s="28">
        <f t="shared" si="339"/>
        <v>1.227331039625368E-36</v>
      </c>
      <c r="X488" s="28">
        <f t="shared" si="339"/>
        <v>-6.1366551981268401E-37</v>
      </c>
      <c r="Y488" s="28">
        <f t="shared" si="339"/>
        <v>-6.9505762665633143E-22</v>
      </c>
      <c r="Z488" s="28">
        <f t="shared" si="339"/>
        <v>-1.2286368921399165E-22</v>
      </c>
      <c r="AA488" s="28">
        <f t="shared" si="339"/>
        <v>-1.9934469860523377E-21</v>
      </c>
      <c r="AB488" s="28">
        <f t="shared" si="339"/>
        <v>-1.6398621879333381E-21</v>
      </c>
      <c r="AC488" s="28">
        <f t="shared" si="339"/>
        <v>-4.7482301761881358E-22</v>
      </c>
      <c r="AD488" s="28">
        <f t="shared" si="339"/>
        <v>-5.9750451065316129E-21</v>
      </c>
      <c r="AE488" s="28">
        <f t="shared" si="339"/>
        <v>-5.3334873213158486E-21</v>
      </c>
      <c r="AF488" s="28">
        <f t="shared" si="339"/>
        <v>-9.0594797136423105E-21</v>
      </c>
      <c r="AG488" s="28"/>
    </row>
    <row r="489" spans="1:33" s="15" customFormat="1" x14ac:dyDescent="0.2">
      <c r="A489" s="44" t="s">
        <v>172</v>
      </c>
      <c r="B489" s="212"/>
      <c r="C489" s="79">
        <f>(C12*C14*((C251/C18)^2-(C248/C12)^2-(C249/C14)^2))/2</f>
        <v>-8.6418598344564099E-12</v>
      </c>
      <c r="D489" s="79">
        <f t="shared" ref="D489:AF489" si="340">(D12*D14*((D251/D18)^2-(D248/D12)^2-(D249/D14)^2))/2</f>
        <v>-5.7860877557837994E-10</v>
      </c>
      <c r="E489" s="79">
        <f t="shared" si="340"/>
        <v>-1.2930953649002157E-10</v>
      </c>
      <c r="F489" s="79">
        <f t="shared" si="340"/>
        <v>-4.2949354208940165E-10</v>
      </c>
      <c r="G489" s="79">
        <f t="shared" si="340"/>
        <v>-8.0641211712504046E-10</v>
      </c>
      <c r="H489" s="79">
        <f t="shared" si="340"/>
        <v>-3.2895201734502185E-10</v>
      </c>
      <c r="I489" s="79">
        <f t="shared" si="340"/>
        <v>-3.2124554471757982E-10</v>
      </c>
      <c r="J489" s="79">
        <f t="shared" si="340"/>
        <v>-2.4315185339006217E-10</v>
      </c>
      <c r="K489" s="79">
        <f t="shared" si="340"/>
        <v>2.2285644094251493E-11</v>
      </c>
      <c r="L489" s="79">
        <f t="shared" si="340"/>
        <v>-5.3824577883796286E-11</v>
      </c>
      <c r="M489" s="79">
        <f t="shared" si="340"/>
        <v>-5.3532773909589734E-11</v>
      </c>
      <c r="N489" s="79">
        <f t="shared" si="340"/>
        <v>-2.0673085427219799E-11</v>
      </c>
      <c r="O489" s="79">
        <f t="shared" si="340"/>
        <v>1.0175319933158647E-11</v>
      </c>
      <c r="P489" s="79">
        <f t="shared" si="340"/>
        <v>-4.6309063422651968E-11</v>
      </c>
      <c r="Q489" s="79">
        <f t="shared" si="340"/>
        <v>-2.7666788637467557E-11</v>
      </c>
      <c r="R489" s="79">
        <f t="shared" si="340"/>
        <v>-5.5095409521480794E-11</v>
      </c>
      <c r="S489" s="79">
        <f t="shared" si="340"/>
        <v>-1.28067675676744E-10</v>
      </c>
      <c r="T489" s="79">
        <f t="shared" si="340"/>
        <v>-3.2599203723107399E-11</v>
      </c>
      <c r="U489" s="79">
        <f t="shared" si="340"/>
        <v>5.5910237093167427E-12</v>
      </c>
      <c r="V489" s="79">
        <f t="shared" si="340"/>
        <v>-8.333154875251054E-11</v>
      </c>
      <c r="W489" s="79">
        <f t="shared" si="340"/>
        <v>-1.2943300989827256E-10</v>
      </c>
      <c r="X489" s="79">
        <f t="shared" si="340"/>
        <v>-1.5942188880624414E-10</v>
      </c>
      <c r="Y489" s="79">
        <f t="shared" si="340"/>
        <v>-3.6144638695715789E-11</v>
      </c>
      <c r="Z489" s="79">
        <f t="shared" si="340"/>
        <v>-7.1985955705968202E-11</v>
      </c>
      <c r="AA489" s="79">
        <f t="shared" si="340"/>
        <v>-3.4752887428214467E-11</v>
      </c>
      <c r="AB489" s="79">
        <f t="shared" si="340"/>
        <v>-1.0449645367186356E-10</v>
      </c>
      <c r="AC489" s="79">
        <f t="shared" si="340"/>
        <v>-6.6044048235884481E-11</v>
      </c>
      <c r="AD489" s="79">
        <f t="shared" si="340"/>
        <v>-1.5633568933622902E-11</v>
      </c>
      <c r="AE489" s="79">
        <f t="shared" si="340"/>
        <v>2.445118548821702E-10</v>
      </c>
      <c r="AF489" s="79">
        <f t="shared" si="340"/>
        <v>4.9326462859222841E-10</v>
      </c>
      <c r="AG489" s="30"/>
    </row>
    <row r="490" spans="1:33" x14ac:dyDescent="0.2">
      <c r="A490" s="6" t="s">
        <v>174</v>
      </c>
      <c r="B490" s="64"/>
      <c r="C490" s="28">
        <f t="shared" ref="C490:AF490" si="341">C489*C467*C471</f>
        <v>1.0301337094225423E-38</v>
      </c>
      <c r="D490" s="28">
        <f t="shared" si="341"/>
        <v>-3.5021939447668483E-38</v>
      </c>
      <c r="E490" s="28">
        <f t="shared" si="341"/>
        <v>5.3925656467079679E-39</v>
      </c>
      <c r="F490" s="28">
        <f t="shared" si="341"/>
        <v>5.2262414659366057E-38</v>
      </c>
      <c r="G490" s="28">
        <f t="shared" si="341"/>
        <v>8.8080304428064467E-38</v>
      </c>
      <c r="H490" s="28">
        <f t="shared" si="341"/>
        <v>1.6350998857899374E-38</v>
      </c>
      <c r="I490" s="28">
        <f t="shared" si="341"/>
        <v>3.5843710709308016E-38</v>
      </c>
      <c r="J490" s="28">
        <f t="shared" si="341"/>
        <v>2.9282892271915544E-38</v>
      </c>
      <c r="K490" s="28">
        <f t="shared" si="341"/>
        <v>-1.501988715623472E-37</v>
      </c>
      <c r="L490" s="28">
        <f t="shared" si="341"/>
        <v>1.870288462483365E-37</v>
      </c>
      <c r="M490" s="28">
        <f t="shared" si="341"/>
        <v>1.4373874734919087E-37</v>
      </c>
      <c r="N490" s="28">
        <f t="shared" si="341"/>
        <v>1.2699553294072374E-37</v>
      </c>
      <c r="O490" s="28">
        <f t="shared" si="341"/>
        <v>-7.1613264873806518E-39</v>
      </c>
      <c r="P490" s="28">
        <f t="shared" si="341"/>
        <v>1.0229101637339583E-37</v>
      </c>
      <c r="Q490" s="28">
        <f t="shared" si="341"/>
        <v>1.0592480709707371E-38</v>
      </c>
      <c r="R490" s="28">
        <f t="shared" si="341"/>
        <v>1.2848181746887886E-38</v>
      </c>
      <c r="S490" s="28">
        <f t="shared" si="341"/>
        <v>2.9631073188327551E-38</v>
      </c>
      <c r="T490" s="28">
        <f t="shared" si="341"/>
        <v>8.2585620262837927E-39</v>
      </c>
      <c r="U490" s="28">
        <f t="shared" si="341"/>
        <v>-5.2210256642239483E-40</v>
      </c>
      <c r="V490" s="28">
        <f t="shared" si="341"/>
        <v>-1.3357712669222627E-40</v>
      </c>
      <c r="W490" s="28">
        <f t="shared" si="341"/>
        <v>-1.1019735887826816E-38</v>
      </c>
      <c r="X490" s="28">
        <f t="shared" si="341"/>
        <v>3.3130228617617432E-38</v>
      </c>
      <c r="Y490" s="28">
        <f t="shared" si="341"/>
        <v>3.7926463906897659E-39</v>
      </c>
      <c r="Z490" s="28">
        <f t="shared" si="341"/>
        <v>8.0292062337772035E-39</v>
      </c>
      <c r="AA490" s="28">
        <f t="shared" si="341"/>
        <v>6.4627778976349415E-35</v>
      </c>
      <c r="AB490" s="28">
        <f t="shared" si="341"/>
        <v>2.5232320619772098E-34</v>
      </c>
      <c r="AC490" s="28">
        <f t="shared" si="341"/>
        <v>7.4468086399394296E-35</v>
      </c>
      <c r="AD490" s="28">
        <f t="shared" si="341"/>
        <v>4.2603352093642417E-35</v>
      </c>
      <c r="AE490" s="28">
        <f t="shared" si="341"/>
        <v>-3.9915907231427932E-34</v>
      </c>
      <c r="AF490" s="28">
        <f t="shared" si="341"/>
        <v>-1.4248113181710174E-33</v>
      </c>
      <c r="AG490" s="28"/>
    </row>
    <row r="491" spans="1:33" s="15" customFormat="1" x14ac:dyDescent="0.2">
      <c r="A491" s="44" t="s">
        <v>170</v>
      </c>
      <c r="B491" s="212"/>
      <c r="C491" s="79">
        <f>(C16*C12*((C252/C20)^2-(C250/C16)^2-(C248/C12)^2))/2</f>
        <v>-5.51341357146214E-10</v>
      </c>
      <c r="D491" s="79">
        <f t="shared" ref="D491:AF491" si="342">(D16*D12*((D252/D20)^2-(D250/D16)^2-(D248/D12)^2))/2</f>
        <v>-2.3395664791681169E-8</v>
      </c>
      <c r="E491" s="79">
        <f t="shared" si="342"/>
        <v>-4.3939010185827103E-9</v>
      </c>
      <c r="F491" s="79">
        <f t="shared" si="342"/>
        <v>-3.5851324095889986E-9</v>
      </c>
      <c r="G491" s="79">
        <f t="shared" si="342"/>
        <v>-8.9589478760206901E-9</v>
      </c>
      <c r="H491" s="79">
        <f t="shared" si="342"/>
        <v>-4.933904359648706E-9</v>
      </c>
      <c r="I491" s="79">
        <f t="shared" si="342"/>
        <v>-9.6214517809471212E-9</v>
      </c>
      <c r="J491" s="79">
        <f t="shared" si="342"/>
        <v>-3.374020025769033E-9</v>
      </c>
      <c r="K491" s="79">
        <f t="shared" si="342"/>
        <v>-8.9983363548038749E-11</v>
      </c>
      <c r="L491" s="79">
        <f t="shared" si="342"/>
        <v>-6.2800676817574494E-11</v>
      </c>
      <c r="M491" s="79">
        <f t="shared" si="342"/>
        <v>-2.0619908467345565E-10</v>
      </c>
      <c r="N491" s="79">
        <f t="shared" si="342"/>
        <v>1.9230813582170123E-10</v>
      </c>
      <c r="O491" s="79">
        <f t="shared" si="342"/>
        <v>-3.8885660943472807E-10</v>
      </c>
      <c r="P491" s="79">
        <f t="shared" si="342"/>
        <v>-9.6017562342050479E-12</v>
      </c>
      <c r="Q491" s="79">
        <f t="shared" si="342"/>
        <v>-7.697231440054471E-10</v>
      </c>
      <c r="R491" s="79">
        <f t="shared" si="342"/>
        <v>-1.1187611128029638E-10</v>
      </c>
      <c r="S491" s="79">
        <f t="shared" si="342"/>
        <v>-1.6972072490045389E-9</v>
      </c>
      <c r="T491" s="79">
        <f t="shared" si="342"/>
        <v>-1.6000219060789803E-9</v>
      </c>
      <c r="U491" s="79">
        <f t="shared" si="342"/>
        <v>-4.476003031162452E-10</v>
      </c>
      <c r="V491" s="79">
        <f t="shared" si="342"/>
        <v>-4.9302796697497502E-10</v>
      </c>
      <c r="W491" s="79">
        <f t="shared" si="342"/>
        <v>-3.1808839325644037E-11</v>
      </c>
      <c r="X491" s="79">
        <f t="shared" si="342"/>
        <v>-1.386497560353999E-9</v>
      </c>
      <c r="Y491" s="79">
        <f t="shared" si="342"/>
        <v>-9.5034421681008181E-10</v>
      </c>
      <c r="Z491" s="79">
        <f t="shared" si="342"/>
        <v>-3.52262494386793E-10</v>
      </c>
      <c r="AA491" s="79">
        <f t="shared" si="342"/>
        <v>1.4173086343564329E-8</v>
      </c>
      <c r="AB491" s="79">
        <f t="shared" si="342"/>
        <v>2.4221712133253815E-8</v>
      </c>
      <c r="AC491" s="79">
        <f t="shared" si="342"/>
        <v>5.6511811757263224E-12</v>
      </c>
      <c r="AD491" s="79">
        <f t="shared" si="342"/>
        <v>-2.1045410903639222E-9</v>
      </c>
      <c r="AE491" s="79">
        <f t="shared" si="342"/>
        <v>4.4701720642518783E-8</v>
      </c>
      <c r="AF491" s="79">
        <f t="shared" si="342"/>
        <v>-1.4449077000771733E-9</v>
      </c>
      <c r="AG491" s="30"/>
    </row>
    <row r="492" spans="1:33" x14ac:dyDescent="0.2">
      <c r="A492" s="6" t="s">
        <v>174</v>
      </c>
      <c r="B492" s="64"/>
      <c r="C492" s="28">
        <f t="shared" ref="C492:AF492" si="343">C491*C467*C469</f>
        <v>-5.1277413101409287E-38</v>
      </c>
      <c r="D492" s="28">
        <f t="shared" si="343"/>
        <v>8.8222961097458358E-37</v>
      </c>
      <c r="E492" s="28">
        <f t="shared" si="343"/>
        <v>-6.4157107557776923E-38</v>
      </c>
      <c r="F492" s="28">
        <f t="shared" si="343"/>
        <v>-7.1686757747961323E-38</v>
      </c>
      <c r="G492" s="28">
        <f t="shared" si="343"/>
        <v>-2.0471065655760969E-37</v>
      </c>
      <c r="H492" s="28">
        <f t="shared" si="343"/>
        <v>-8.6000870903826873E-38</v>
      </c>
      <c r="I492" s="28">
        <f t="shared" si="343"/>
        <v>-2.6997115842100411E-37</v>
      </c>
      <c r="J492" s="28">
        <f t="shared" si="343"/>
        <v>-1.2536363413688441E-37</v>
      </c>
      <c r="K492" s="28">
        <f t="shared" si="343"/>
        <v>-3.6702595873310229E-39</v>
      </c>
      <c r="L492" s="28">
        <f t="shared" si="343"/>
        <v>-1.430057026027229E-39</v>
      </c>
      <c r="M492" s="28">
        <f t="shared" si="343"/>
        <v>-3.2944805310258051E-39</v>
      </c>
      <c r="N492" s="28">
        <f t="shared" si="343"/>
        <v>6.3566048836688168E-39</v>
      </c>
      <c r="O492" s="28">
        <f t="shared" si="343"/>
        <v>-3.0502780117704051E-39</v>
      </c>
      <c r="P492" s="28">
        <f t="shared" si="343"/>
        <v>-1.4673330858510474E-40</v>
      </c>
      <c r="Q492" s="28">
        <f t="shared" si="343"/>
        <v>-1.7809234658048901E-38</v>
      </c>
      <c r="R492" s="28">
        <f t="shared" si="343"/>
        <v>-1.1412783969895532E-39</v>
      </c>
      <c r="S492" s="28">
        <f t="shared" si="343"/>
        <v>-1.9329569787091883E-38</v>
      </c>
      <c r="T492" s="28">
        <f t="shared" si="343"/>
        <v>-3.718040083327648E-38</v>
      </c>
      <c r="U492" s="28">
        <f t="shared" si="343"/>
        <v>-8.2974886353648644E-39</v>
      </c>
      <c r="V492" s="28">
        <f t="shared" si="343"/>
        <v>3.0862228512403205E-40</v>
      </c>
      <c r="W492" s="28">
        <f t="shared" si="343"/>
        <v>2.1329510487336606E-39</v>
      </c>
      <c r="X492" s="28">
        <f t="shared" si="343"/>
        <v>-1.3005731189294279E-38</v>
      </c>
      <c r="Y492" s="28">
        <f t="shared" si="343"/>
        <v>-7.6686022910931674E-39</v>
      </c>
      <c r="Z492" s="28">
        <f t="shared" si="343"/>
        <v>-7.2114610707931745E-39</v>
      </c>
      <c r="AA492" s="28">
        <f t="shared" si="343"/>
        <v>6.9395031187738551E-36</v>
      </c>
      <c r="AB492" s="28">
        <f t="shared" si="343"/>
        <v>1.3190814583346607E-35</v>
      </c>
      <c r="AC492" s="28">
        <f t="shared" si="343"/>
        <v>3.0790610219847794E-39</v>
      </c>
      <c r="AD492" s="28">
        <f t="shared" si="343"/>
        <v>-1.1143588215939842E-36</v>
      </c>
      <c r="AE492" s="28">
        <f t="shared" si="343"/>
        <v>1.0493449083689867E-35</v>
      </c>
      <c r="AF492" s="28">
        <f t="shared" si="343"/>
        <v>-1.0224651862948113E-36</v>
      </c>
      <c r="AG492" s="28"/>
    </row>
    <row r="493" spans="1:33" s="15" customFormat="1" x14ac:dyDescent="0.2">
      <c r="A493" s="44" t="s">
        <v>159</v>
      </c>
      <c r="B493" s="212"/>
      <c r="C493" s="79">
        <f>(C158*C154*((C262/C158)^2+(C260/C154)^2-(C266/C164)^2))/2</f>
        <v>4.0251248159520269E-13</v>
      </c>
      <c r="D493" s="79">
        <f t="shared" ref="D493:AF493" si="344">(D158*D154*((D262/D158)^2+(D260/D154)^2-(D266/D164)^2))/2</f>
        <v>4.0251248159520269E-13</v>
      </c>
      <c r="E493" s="79">
        <f t="shared" si="344"/>
        <v>4.0251248159520269E-13</v>
      </c>
      <c r="F493" s="79">
        <f t="shared" si="344"/>
        <v>4.0251248159520269E-13</v>
      </c>
      <c r="G493" s="79">
        <f t="shared" si="344"/>
        <v>4.0251248159520269E-13</v>
      </c>
      <c r="H493" s="79">
        <f t="shared" si="344"/>
        <v>4.0251248159520269E-13</v>
      </c>
      <c r="I493" s="79">
        <f t="shared" si="344"/>
        <v>4.0251248159520269E-13</v>
      </c>
      <c r="J493" s="79">
        <f t="shared" si="344"/>
        <v>4.0251248159520269E-13</v>
      </c>
      <c r="K493" s="79">
        <f t="shared" si="344"/>
        <v>1.8665108006058305E-14</v>
      </c>
      <c r="L493" s="79">
        <f t="shared" si="344"/>
        <v>1.8665108006058305E-14</v>
      </c>
      <c r="M493" s="79">
        <f t="shared" si="344"/>
        <v>1.8665108006058305E-14</v>
      </c>
      <c r="N493" s="79">
        <f t="shared" si="344"/>
        <v>1.8665108006058305E-14</v>
      </c>
      <c r="O493" s="79">
        <f t="shared" si="344"/>
        <v>1.8665108006058305E-14</v>
      </c>
      <c r="P493" s="79">
        <f t="shared" si="344"/>
        <v>1.8665108006058305E-14</v>
      </c>
      <c r="Q493" s="79">
        <f t="shared" si="344"/>
        <v>1.8665108006058305E-14</v>
      </c>
      <c r="R493" s="79">
        <f t="shared" si="344"/>
        <v>1.9268444675083111E-14</v>
      </c>
      <c r="S493" s="79">
        <f t="shared" si="344"/>
        <v>1.9268444675083111E-14</v>
      </c>
      <c r="T493" s="79">
        <f t="shared" si="344"/>
        <v>1.9268444675083111E-14</v>
      </c>
      <c r="U493" s="79">
        <f t="shared" si="344"/>
        <v>1.9268444675083111E-14</v>
      </c>
      <c r="V493" s="79">
        <f t="shared" si="344"/>
        <v>1.9268444675083111E-14</v>
      </c>
      <c r="W493" s="79">
        <f t="shared" si="344"/>
        <v>1.9268444675083111E-14</v>
      </c>
      <c r="X493" s="79">
        <f t="shared" si="344"/>
        <v>1.9268444675083111E-14</v>
      </c>
      <c r="Y493" s="79">
        <f t="shared" si="344"/>
        <v>1.9268444675083111E-14</v>
      </c>
      <c r="Z493" s="79">
        <f t="shared" si="344"/>
        <v>1.9268444675083111E-14</v>
      </c>
      <c r="AA493" s="79">
        <f t="shared" si="344"/>
        <v>4.0251248159520269E-13</v>
      </c>
      <c r="AB493" s="79">
        <f t="shared" si="344"/>
        <v>4.0251248159520269E-13</v>
      </c>
      <c r="AC493" s="79">
        <f t="shared" si="344"/>
        <v>4.0251248159520269E-13</v>
      </c>
      <c r="AD493" s="79">
        <f t="shared" si="344"/>
        <v>4.0251248159520269E-13</v>
      </c>
      <c r="AE493" s="79">
        <f t="shared" si="344"/>
        <v>4.0251248159520269E-13</v>
      </c>
      <c r="AF493" s="79">
        <f t="shared" si="344"/>
        <v>4.0251248159520269E-13</v>
      </c>
      <c r="AG493" s="30"/>
    </row>
    <row r="494" spans="1:33" x14ac:dyDescent="0.2">
      <c r="A494" s="6" t="s">
        <v>174</v>
      </c>
      <c r="B494" s="64"/>
      <c r="C494" s="28">
        <f t="shared" ref="C494:AF494" si="345">C493*C477*C473</f>
        <v>-5.7530767386525169E-38</v>
      </c>
      <c r="D494" s="28">
        <f t="shared" si="345"/>
        <v>-4.3924895450170016E-38</v>
      </c>
      <c r="E494" s="28">
        <f t="shared" si="345"/>
        <v>-3.8263464481036997E-38</v>
      </c>
      <c r="F494" s="28">
        <f t="shared" si="345"/>
        <v>-4.9976769934415668E-38</v>
      </c>
      <c r="G494" s="28">
        <f t="shared" si="345"/>
        <v>-8.8847590994516766E-38</v>
      </c>
      <c r="H494" s="28">
        <f t="shared" si="345"/>
        <v>-5.6419087933773941E-38</v>
      </c>
      <c r="I494" s="28">
        <f t="shared" si="345"/>
        <v>-3.2151938904204708E-38</v>
      </c>
      <c r="J494" s="28">
        <f t="shared" si="345"/>
        <v>-4.0107225524624381E-38</v>
      </c>
      <c r="K494" s="28">
        <f t="shared" si="345"/>
        <v>-3.6189731055014865E-39</v>
      </c>
      <c r="L494" s="28">
        <f t="shared" si="345"/>
        <v>-1.9141675929925213E-39</v>
      </c>
      <c r="M494" s="28">
        <f t="shared" si="345"/>
        <v>-1.3292830506892515E-39</v>
      </c>
      <c r="N494" s="28">
        <f t="shared" si="345"/>
        <v>-2.8432118251383068E-39</v>
      </c>
      <c r="O494" s="28">
        <f t="shared" si="345"/>
        <v>-5.8343063896657925E-40</v>
      </c>
      <c r="P494" s="28">
        <f t="shared" si="345"/>
        <v>-1.2962586748986901E-39</v>
      </c>
      <c r="Q494" s="28">
        <f t="shared" si="345"/>
        <v>-1.8744968019485147E-39</v>
      </c>
      <c r="R494" s="28">
        <f t="shared" si="345"/>
        <v>-7.3401591989292872E-40</v>
      </c>
      <c r="S494" s="28">
        <f t="shared" si="345"/>
        <v>-7.9045858229836559E-40</v>
      </c>
      <c r="T494" s="28">
        <f t="shared" si="345"/>
        <v>-1.6308271114459834E-39</v>
      </c>
      <c r="U494" s="28">
        <f t="shared" si="345"/>
        <v>-1.3546238977304883E-39</v>
      </c>
      <c r="V494" s="28">
        <f t="shared" si="345"/>
        <v>-1.3172567647491111E-39</v>
      </c>
      <c r="W494" s="28">
        <f t="shared" si="345"/>
        <v>-2.8263140582278084E-39</v>
      </c>
      <c r="X494" s="28">
        <f t="shared" si="345"/>
        <v>-6.5327155561848401E-40</v>
      </c>
      <c r="Y494" s="28">
        <f t="shared" si="345"/>
        <v>-4.3925979399786864E-40</v>
      </c>
      <c r="Z494" s="28">
        <f t="shared" si="345"/>
        <v>-1.8437936385776089E-39</v>
      </c>
      <c r="AA494" s="28">
        <f t="shared" si="345"/>
        <v>-9.1645769519490546E-38</v>
      </c>
      <c r="AB494" s="28">
        <f t="shared" si="345"/>
        <v>-1.0178103243262235E-37</v>
      </c>
      <c r="AC494" s="28">
        <f t="shared" si="345"/>
        <v>-1.0178103243262235E-37</v>
      </c>
      <c r="AD494" s="28">
        <f t="shared" si="345"/>
        <v>-9.8831014762882537E-38</v>
      </c>
      <c r="AE494" s="28">
        <f t="shared" si="345"/>
        <v>-4.3924895450170016E-38</v>
      </c>
      <c r="AF494" s="28">
        <f t="shared" si="345"/>
        <v>-1.3196990810806635E-37</v>
      </c>
      <c r="AG494" s="28"/>
    </row>
    <row r="495" spans="1:33" s="15" customFormat="1" x14ac:dyDescent="0.2">
      <c r="A495" s="44" t="s">
        <v>171</v>
      </c>
      <c r="B495" s="212"/>
      <c r="C495" s="79">
        <f>(C162*C154*((C261/C156)^2-(C265/C162)^2-(C260/C154)^2))/2</f>
        <v>-2.0627443484864661E-11</v>
      </c>
      <c r="D495" s="79">
        <f t="shared" ref="D495:AF495" si="346">(D162*D154*((D261/D156)^2-(D265/D162)^2-(D260/D154)^2))/2</f>
        <v>-2.0627443484864661E-11</v>
      </c>
      <c r="E495" s="79">
        <f t="shared" si="346"/>
        <v>-2.0627443484864661E-11</v>
      </c>
      <c r="F495" s="79">
        <f t="shared" si="346"/>
        <v>-2.0627443484864661E-11</v>
      </c>
      <c r="G495" s="79">
        <f t="shared" si="346"/>
        <v>-2.0627443484864661E-11</v>
      </c>
      <c r="H495" s="79">
        <f t="shared" si="346"/>
        <v>-2.0627443484864661E-11</v>
      </c>
      <c r="I495" s="79">
        <f t="shared" si="346"/>
        <v>-2.0627443484864661E-11</v>
      </c>
      <c r="J495" s="79">
        <f t="shared" si="346"/>
        <v>-2.0627443484864661E-11</v>
      </c>
      <c r="K495" s="79">
        <f t="shared" si="346"/>
        <v>-9.0571912308215313E-27</v>
      </c>
      <c r="L495" s="79">
        <f t="shared" si="346"/>
        <v>-9.0571912308215313E-27</v>
      </c>
      <c r="M495" s="79">
        <f t="shared" si="346"/>
        <v>-9.0571912308215313E-27</v>
      </c>
      <c r="N495" s="79">
        <f t="shared" si="346"/>
        <v>-9.0571912308215313E-27</v>
      </c>
      <c r="O495" s="79">
        <f t="shared" si="346"/>
        <v>-9.0571912308215313E-27</v>
      </c>
      <c r="P495" s="79">
        <f t="shared" si="346"/>
        <v>-9.0571912308215313E-27</v>
      </c>
      <c r="Q495" s="79">
        <f t="shared" si="346"/>
        <v>-9.0571912308215313E-27</v>
      </c>
      <c r="R495" s="79">
        <f t="shared" si="346"/>
        <v>1.4240210662894857E-10</v>
      </c>
      <c r="S495" s="79">
        <f t="shared" si="346"/>
        <v>1.4240210662894857E-10</v>
      </c>
      <c r="T495" s="79">
        <f t="shared" si="346"/>
        <v>1.4240210662894857E-10</v>
      </c>
      <c r="U495" s="79">
        <f t="shared" si="346"/>
        <v>1.4240210662894857E-10</v>
      </c>
      <c r="V495" s="79">
        <f t="shared" si="346"/>
        <v>1.4240210662894857E-10</v>
      </c>
      <c r="W495" s="79">
        <f t="shared" si="346"/>
        <v>1.4240210662894857E-10</v>
      </c>
      <c r="X495" s="79">
        <f t="shared" si="346"/>
        <v>1.4240210662894857E-10</v>
      </c>
      <c r="Y495" s="79">
        <f t="shared" si="346"/>
        <v>1.4240210662894857E-10</v>
      </c>
      <c r="Z495" s="79">
        <f t="shared" si="346"/>
        <v>1.4240210662894857E-10</v>
      </c>
      <c r="AA495" s="79">
        <f t="shared" si="346"/>
        <v>-2.0627443484864661E-11</v>
      </c>
      <c r="AB495" s="79">
        <f t="shared" si="346"/>
        <v>-2.0627443484864661E-11</v>
      </c>
      <c r="AC495" s="79">
        <f t="shared" si="346"/>
        <v>-2.0627443484864661E-11</v>
      </c>
      <c r="AD495" s="79">
        <f t="shared" si="346"/>
        <v>-2.0627443484864661E-11</v>
      </c>
      <c r="AE495" s="79">
        <f t="shared" si="346"/>
        <v>-2.0627443484864661E-11</v>
      </c>
      <c r="AF495" s="79">
        <f t="shared" si="346"/>
        <v>-2.0627443484864661E-11</v>
      </c>
      <c r="AG495" s="30"/>
    </row>
    <row r="496" spans="1:33" x14ac:dyDescent="0.2">
      <c r="A496" s="6" t="s">
        <v>174</v>
      </c>
      <c r="B496" s="64"/>
      <c r="C496" s="28">
        <f t="shared" ref="C496:AF496" si="347">C495*C473*C475</f>
        <v>-8.0773809951161837E-40</v>
      </c>
      <c r="D496" s="28">
        <f t="shared" si="347"/>
        <v>-6.1671020888341093E-40</v>
      </c>
      <c r="E496" s="28">
        <f t="shared" si="347"/>
        <v>-5.3722311529399352E-40</v>
      </c>
      <c r="F496" s="28">
        <f t="shared" si="347"/>
        <v>-7.0167917099623644E-40</v>
      </c>
      <c r="G496" s="28">
        <f t="shared" si="347"/>
        <v>-1.2474296373266428E-39</v>
      </c>
      <c r="H496" s="28">
        <f t="shared" si="347"/>
        <v>-7.9213000163247014E-40</v>
      </c>
      <c r="I496" s="28">
        <f t="shared" si="347"/>
        <v>-4.5141664549009192E-40</v>
      </c>
      <c r="J496" s="28">
        <f t="shared" si="347"/>
        <v>-5.6310971665453188E-40</v>
      </c>
      <c r="K496" s="28">
        <f t="shared" si="347"/>
        <v>-5.3748207161537077E-56</v>
      </c>
      <c r="L496" s="28">
        <f t="shared" si="347"/>
        <v>-2.8428803787920429E-56</v>
      </c>
      <c r="M496" s="28">
        <f t="shared" si="347"/>
        <v>-1.9742224852722525E-56</v>
      </c>
      <c r="N496" s="28">
        <f t="shared" si="347"/>
        <v>-4.2226768126393546E-56</v>
      </c>
      <c r="O496" s="28">
        <f t="shared" si="347"/>
        <v>-8.6649858767652483E-57</v>
      </c>
      <c r="P496" s="28">
        <f t="shared" si="347"/>
        <v>-1.9251753954037702E-56</v>
      </c>
      <c r="Q496" s="28">
        <f t="shared" si="347"/>
        <v>-2.7839621764972004E-56</v>
      </c>
      <c r="R496" s="28">
        <f t="shared" si="347"/>
        <v>2.5946113349351069E-40</v>
      </c>
      <c r="S496" s="28">
        <f t="shared" si="347"/>
        <v>2.7941257700885357E-40</v>
      </c>
      <c r="T496" s="28">
        <f t="shared" si="347"/>
        <v>5.7646740268173728E-40</v>
      </c>
      <c r="U496" s="28">
        <f t="shared" si="347"/>
        <v>4.7883464436823046E-40</v>
      </c>
      <c r="V496" s="28">
        <f t="shared" si="347"/>
        <v>4.6562604981872107E-40</v>
      </c>
      <c r="W496" s="28">
        <f t="shared" si="347"/>
        <v>9.9905006047198688E-40</v>
      </c>
      <c r="X496" s="28">
        <f t="shared" si="347"/>
        <v>2.3091948513128398E-40</v>
      </c>
      <c r="Y496" s="28">
        <f t="shared" si="347"/>
        <v>1.5527026180227537E-40</v>
      </c>
      <c r="Z496" s="28">
        <f t="shared" si="347"/>
        <v>6.5174715483453578E-40</v>
      </c>
      <c r="AA496" s="28">
        <f t="shared" si="347"/>
        <v>-1.2867163617444007E-39</v>
      </c>
      <c r="AB496" s="28">
        <f t="shared" si="347"/>
        <v>-1.4290165321645359E-39</v>
      </c>
      <c r="AC496" s="28">
        <f t="shared" si="347"/>
        <v>-1.4290165321645359E-39</v>
      </c>
      <c r="AD496" s="28">
        <f t="shared" si="347"/>
        <v>-1.3875979699876746E-39</v>
      </c>
      <c r="AE496" s="28">
        <f t="shared" si="347"/>
        <v>-6.1671020888341093E-40</v>
      </c>
      <c r="AF496" s="28">
        <f t="shared" si="347"/>
        <v>-1.8528715609119369E-39</v>
      </c>
      <c r="AG496" s="28"/>
    </row>
    <row r="497" spans="1:33" x14ac:dyDescent="0.2">
      <c r="A497" s="41" t="s">
        <v>85</v>
      </c>
      <c r="B497" s="44"/>
      <c r="C497" s="81"/>
      <c r="D497" s="81"/>
      <c r="E497" s="81"/>
      <c r="F497" s="81"/>
      <c r="G497" s="81"/>
      <c r="H497" s="81"/>
      <c r="I497" s="81"/>
      <c r="J497" s="81"/>
      <c r="K497" s="81"/>
      <c r="L497" s="81"/>
      <c r="M497" s="81"/>
      <c r="N497" s="81"/>
      <c r="O497" s="81"/>
      <c r="P497" s="81"/>
      <c r="Q497" s="81"/>
      <c r="R497" s="81"/>
      <c r="S497" s="81"/>
      <c r="T497" s="81"/>
      <c r="U497" s="81"/>
      <c r="V497" s="81"/>
      <c r="W497" s="81"/>
      <c r="X497" s="81"/>
      <c r="Y497" s="81"/>
      <c r="Z497" s="81"/>
      <c r="AA497" s="81"/>
      <c r="AB497" s="81"/>
      <c r="AC497" s="81"/>
      <c r="AD497" s="81"/>
      <c r="AE497" s="81"/>
      <c r="AF497" s="81"/>
      <c r="AG497" s="40"/>
    </row>
    <row r="498" spans="1:33" x14ac:dyDescent="0.2">
      <c r="A498" s="198" t="s">
        <v>86</v>
      </c>
      <c r="B498" s="212"/>
      <c r="C498" s="79">
        <f>C446*C467</f>
        <v>2.1571666635027972E-28</v>
      </c>
      <c r="D498" s="79">
        <f t="shared" ref="D498:AF498" si="348">D446*D467</f>
        <v>-7.6210391494403286E-30</v>
      </c>
      <c r="E498" s="79">
        <f t="shared" si="348"/>
        <v>4.1554564541264282E-30</v>
      </c>
      <c r="F498" s="79">
        <f t="shared" si="348"/>
        <v>2.7509927966370199E-30</v>
      </c>
      <c r="G498" s="79">
        <f t="shared" si="348"/>
        <v>5.3970511192797224E-30</v>
      </c>
      <c r="H498" s="79">
        <f t="shared" si="348"/>
        <v>3.6870513522493261E-30</v>
      </c>
      <c r="I498" s="79">
        <f t="shared" si="348"/>
        <v>1.1592652403257914E-29</v>
      </c>
      <c r="J498" s="79">
        <f t="shared" si="348"/>
        <v>1.2813729741278741E-29</v>
      </c>
      <c r="K498" s="79">
        <f t="shared" si="348"/>
        <v>7.7450731211214005E-28</v>
      </c>
      <c r="L498" s="79">
        <f t="shared" si="348"/>
        <v>4.0585471923912549E-28</v>
      </c>
      <c r="M498" s="79">
        <f t="shared" si="348"/>
        <v>2.8268606230472573E-28</v>
      </c>
      <c r="N498" s="79">
        <f t="shared" si="348"/>
        <v>6.0899454004907417E-28</v>
      </c>
      <c r="O498" s="79">
        <f t="shared" si="348"/>
        <v>1.1777560838592124E-28</v>
      </c>
      <c r="P498" s="79">
        <f t="shared" si="348"/>
        <v>2.7258625881632215E-28</v>
      </c>
      <c r="Q498" s="79">
        <f t="shared" si="348"/>
        <v>2.7119479907998426E-28</v>
      </c>
      <c r="R498" s="79">
        <f t="shared" si="348"/>
        <v>8.7474687029346043E-29</v>
      </c>
      <c r="S498" s="79">
        <f t="shared" si="348"/>
        <v>9.1993752303618143E-29</v>
      </c>
      <c r="T498" s="79">
        <f t="shared" si="348"/>
        <v>1.5291177752209045E-28</v>
      </c>
      <c r="U498" s="79">
        <f t="shared" si="348"/>
        <v>7.5451992386503699E-29</v>
      </c>
      <c r="V498" s="79">
        <f t="shared" si="348"/>
        <v>-2.3331526748135006E-30</v>
      </c>
      <c r="W498" s="79">
        <f t="shared" si="348"/>
        <v>-1.6336372669811924E-28</v>
      </c>
      <c r="X498" s="79">
        <f t="shared" si="348"/>
        <v>8.0366330662703793E-29</v>
      </c>
      <c r="Y498" s="79">
        <f t="shared" si="348"/>
        <v>4.4225618735846761E-29</v>
      </c>
      <c r="Z498" s="79">
        <f t="shared" si="348"/>
        <v>1.0451933494322326E-28</v>
      </c>
      <c r="AA498" s="79">
        <f t="shared" si="348"/>
        <v>2.8326507692644211E-27</v>
      </c>
      <c r="AB498" s="79">
        <f t="shared" si="348"/>
        <v>3.1494398261737123E-27</v>
      </c>
      <c r="AC498" s="79">
        <f t="shared" si="348"/>
        <v>3.1482897701255257E-27</v>
      </c>
      <c r="AD498" s="79">
        <f t="shared" si="348"/>
        <v>3.0573069857054944E-27</v>
      </c>
      <c r="AE498" s="79">
        <f t="shared" si="348"/>
        <v>1.3571806709320859E-27</v>
      </c>
      <c r="AF498" s="79">
        <f t="shared" si="348"/>
        <v>4.0796903949430172E-27</v>
      </c>
      <c r="AG498" s="30"/>
    </row>
    <row r="499" spans="1:33" x14ac:dyDescent="0.2">
      <c r="A499" s="44" t="s">
        <v>165</v>
      </c>
      <c r="B499" s="64"/>
      <c r="C499" s="28">
        <f t="shared" ref="C499:AF499" si="349">C498*(C248^2)</f>
        <v>1.6088873338792316E-37</v>
      </c>
      <c r="D499" s="28">
        <f t="shared" si="349"/>
        <v>-1.4801572634674042E-38</v>
      </c>
      <c r="E499" s="28">
        <f t="shared" si="349"/>
        <v>4.3762266514942361E-39</v>
      </c>
      <c r="F499" s="28">
        <f t="shared" si="349"/>
        <v>8.6821209994965637E-39</v>
      </c>
      <c r="G499" s="28">
        <f t="shared" si="349"/>
        <v>2.0286451618471756E-38</v>
      </c>
      <c r="H499" s="28">
        <f t="shared" si="349"/>
        <v>4.4560118968817553E-39</v>
      </c>
      <c r="I499" s="28">
        <f t="shared" si="349"/>
        <v>3.269978011413432E-38</v>
      </c>
      <c r="J499" s="28">
        <f t="shared" si="349"/>
        <v>8.9953479760677166E-39</v>
      </c>
      <c r="K499" s="28">
        <f t="shared" si="349"/>
        <v>9.360929981800757E-37</v>
      </c>
      <c r="L499" s="28">
        <f t="shared" si="349"/>
        <v>6.96759204427454E-37</v>
      </c>
      <c r="M499" s="28">
        <f t="shared" si="349"/>
        <v>2.1103207628862719E-36</v>
      </c>
      <c r="N499" s="28">
        <f t="shared" si="349"/>
        <v>1.5883432759469223E-36</v>
      </c>
      <c r="O499" s="28">
        <f t="shared" si="349"/>
        <v>1.3548533198233293E-37</v>
      </c>
      <c r="P499" s="28">
        <f t="shared" si="349"/>
        <v>8.2805921545680721E-37</v>
      </c>
      <c r="Q499" s="28">
        <f t="shared" si="349"/>
        <v>2.6581329928135442E-37</v>
      </c>
      <c r="R499" s="28">
        <f t="shared" si="349"/>
        <v>8.6393804117956556E-38</v>
      </c>
      <c r="S499" s="28">
        <f t="shared" si="349"/>
        <v>1.7441707162893537E-37</v>
      </c>
      <c r="T499" s="28">
        <f t="shared" si="349"/>
        <v>7.500732884191335E-38</v>
      </c>
      <c r="U499" s="28">
        <f t="shared" si="349"/>
        <v>2.6441361286515232E-38</v>
      </c>
      <c r="V499" s="28">
        <f t="shared" si="349"/>
        <v>-5.2578299383088799E-40</v>
      </c>
      <c r="W499" s="28">
        <f t="shared" si="349"/>
        <v>-5.5996555288917765E-39</v>
      </c>
      <c r="X499" s="28">
        <f t="shared" si="349"/>
        <v>7.3445213497711854E-38</v>
      </c>
      <c r="Y499" s="28">
        <f t="shared" si="349"/>
        <v>7.5837180421546429E-38</v>
      </c>
      <c r="Z499" s="28">
        <f t="shared" si="349"/>
        <v>3.9010022044280821E-38</v>
      </c>
      <c r="AA499" s="28">
        <f t="shared" si="349"/>
        <v>9.9825332184670084E-32</v>
      </c>
      <c r="AB499" s="28">
        <f t="shared" si="349"/>
        <v>3.9615060156403467E-31</v>
      </c>
      <c r="AC499" s="28">
        <f t="shared" si="349"/>
        <v>1.3488239122018986E-32</v>
      </c>
      <c r="AD499" s="28">
        <f t="shared" si="349"/>
        <v>1.2257242947904998E-31</v>
      </c>
      <c r="AE499" s="28">
        <f t="shared" si="349"/>
        <v>2.2367416967891829E-31</v>
      </c>
      <c r="AF499" s="28">
        <f t="shared" si="349"/>
        <v>1.1564287225261092E-31</v>
      </c>
      <c r="AG499" s="28"/>
    </row>
    <row r="500" spans="1:33" x14ac:dyDescent="0.2">
      <c r="A500" s="198" t="s">
        <v>87</v>
      </c>
      <c r="B500" s="212"/>
      <c r="C500" s="79">
        <f>C448*C471</f>
        <v>1.7601835431492246E-25</v>
      </c>
      <c r="D500" s="79">
        <f t="shared" ref="D500:AF500" si="350">D448*D471</f>
        <v>1.2291286565064064E-26</v>
      </c>
      <c r="E500" s="79">
        <f t="shared" si="350"/>
        <v>3.0924726302090284E-26</v>
      </c>
      <c r="F500" s="79">
        <f t="shared" si="350"/>
        <v>2.2619202644002822E-25</v>
      </c>
      <c r="G500" s="79">
        <f t="shared" si="350"/>
        <v>2.1448666291480273E-25</v>
      </c>
      <c r="H500" s="79">
        <f t="shared" si="350"/>
        <v>5.0240055481845643E-26</v>
      </c>
      <c r="I500" s="79">
        <f t="shared" si="350"/>
        <v>4.3075820225719342E-26</v>
      </c>
      <c r="J500" s="79">
        <f t="shared" si="350"/>
        <v>3.8961983737319821E-26</v>
      </c>
      <c r="K500" s="79">
        <f t="shared" si="350"/>
        <v>1.5389977971494556E-24</v>
      </c>
      <c r="L500" s="79">
        <f t="shared" si="350"/>
        <v>7.8153195361070676E-25</v>
      </c>
      <c r="M500" s="79">
        <f t="shared" si="350"/>
        <v>6.6759651405647591E-25</v>
      </c>
      <c r="N500" s="79">
        <f t="shared" si="350"/>
        <v>1.6192503675363668E-24</v>
      </c>
      <c r="O500" s="79">
        <f t="shared" si="350"/>
        <v>1.1297535917798248E-25</v>
      </c>
      <c r="P500" s="79">
        <f t="shared" si="350"/>
        <v>4.7378082370526167E-25</v>
      </c>
      <c r="Q500" s="79">
        <f t="shared" si="350"/>
        <v>1.8960558044752218E-26</v>
      </c>
      <c r="R500" s="79">
        <f t="shared" si="350"/>
        <v>1.9798845242266043E-26</v>
      </c>
      <c r="S500" s="79">
        <f t="shared" si="350"/>
        <v>1.8675800018343644E-26</v>
      </c>
      <c r="T500" s="79">
        <f t="shared" si="350"/>
        <v>1.5570397111860637E-26</v>
      </c>
      <c r="U500" s="79">
        <f t="shared" si="350"/>
        <v>5.8950337197748091E-27</v>
      </c>
      <c r="V500" s="79">
        <f t="shared" si="350"/>
        <v>1.6211502898734577E-27</v>
      </c>
      <c r="W500" s="79">
        <f t="shared" si="350"/>
        <v>1.4883899517925845E-27</v>
      </c>
      <c r="X500" s="79">
        <f t="shared" si="350"/>
        <v>1.6586563657773141E-26</v>
      </c>
      <c r="Y500" s="79">
        <f t="shared" si="350"/>
        <v>8.1503738725360666E-27</v>
      </c>
      <c r="Z500" s="79">
        <f t="shared" si="350"/>
        <v>6.5441103396491495E-27</v>
      </c>
      <c r="AA500" s="79">
        <f t="shared" si="350"/>
        <v>8.4139752701159046E-21</v>
      </c>
      <c r="AB500" s="79">
        <f t="shared" si="350"/>
        <v>1.2747459372916706E-20</v>
      </c>
      <c r="AC500" s="79">
        <f t="shared" si="350"/>
        <v>2.7806629001271408E-21</v>
      </c>
      <c r="AD500" s="79">
        <f t="shared" si="350"/>
        <v>1.6720943070974254E-20</v>
      </c>
      <c r="AE500" s="79">
        <f t="shared" si="350"/>
        <v>1.3533742823751539E-20</v>
      </c>
      <c r="AF500" s="79">
        <f t="shared" si="350"/>
        <v>1.4079060818121371E-20</v>
      </c>
      <c r="AG500" s="30"/>
    </row>
    <row r="501" spans="1:33" x14ac:dyDescent="0.2">
      <c r="A501" s="44" t="s">
        <v>165</v>
      </c>
      <c r="B501" s="64"/>
      <c r="C501" s="28">
        <f t="shared" ref="C501:AF501" si="351">C500*(C249^2)</f>
        <v>1.9946465497434608E-35</v>
      </c>
      <c r="D501" s="28">
        <f t="shared" si="351"/>
        <v>1.2673213608820837E-34</v>
      </c>
      <c r="E501" s="28">
        <f t="shared" si="351"/>
        <v>5.975450016116676E-35</v>
      </c>
      <c r="F501" s="28">
        <f t="shared" si="351"/>
        <v>1.4460062217083905E-34</v>
      </c>
      <c r="G501" s="28">
        <f t="shared" si="351"/>
        <v>3.7801593081655131E-34</v>
      </c>
      <c r="H501" s="28">
        <f t="shared" si="351"/>
        <v>7.8477569317776925E-35</v>
      </c>
      <c r="I501" s="28">
        <f t="shared" si="351"/>
        <v>9.0807090513257472E-35</v>
      </c>
      <c r="J501" s="28">
        <f t="shared" si="351"/>
        <v>3.3299084538624879E-35</v>
      </c>
      <c r="K501" s="28">
        <f t="shared" si="351"/>
        <v>1.5505318179123765E-36</v>
      </c>
      <c r="L501" s="28">
        <f t="shared" si="351"/>
        <v>3.380479560125898E-36</v>
      </c>
      <c r="M501" s="28">
        <f t="shared" si="351"/>
        <v>2.0693514856110641E-36</v>
      </c>
      <c r="N501" s="28">
        <f t="shared" si="351"/>
        <v>3.7769674090502105E-36</v>
      </c>
      <c r="O501" s="28">
        <f t="shared" si="351"/>
        <v>8.6599415223541962E-37</v>
      </c>
      <c r="P501" s="28">
        <f t="shared" si="351"/>
        <v>1.9428982494096573E-36</v>
      </c>
      <c r="Q501" s="28">
        <f t="shared" si="351"/>
        <v>2.2286200230887388E-36</v>
      </c>
      <c r="R501" s="28">
        <f t="shared" si="351"/>
        <v>5.6059948840651706E-36</v>
      </c>
      <c r="S501" s="28">
        <f t="shared" si="351"/>
        <v>6.4074838110091811E-36</v>
      </c>
      <c r="T501" s="28">
        <f t="shared" si="351"/>
        <v>7.9982751107498616E-36</v>
      </c>
      <c r="U501" s="28">
        <f t="shared" si="351"/>
        <v>4.0268110121333417E-36</v>
      </c>
      <c r="V501" s="28">
        <f t="shared" si="351"/>
        <v>1.9903698001747348E-36</v>
      </c>
      <c r="W501" s="28">
        <f t="shared" si="351"/>
        <v>2.1053894059436692E-36</v>
      </c>
      <c r="X501" s="28">
        <f t="shared" si="351"/>
        <v>1.9705687221529831E-36</v>
      </c>
      <c r="Y501" s="28">
        <f t="shared" si="351"/>
        <v>3.7400994716119706E-36</v>
      </c>
      <c r="Z501" s="28">
        <f t="shared" si="351"/>
        <v>3.3412299172125257E-36</v>
      </c>
      <c r="AA501" s="28">
        <f t="shared" si="351"/>
        <v>1.8488813103258319E-35</v>
      </c>
      <c r="AB501" s="28">
        <f t="shared" si="351"/>
        <v>3.2191132044752154E-35</v>
      </c>
      <c r="AC501" s="28">
        <f t="shared" si="351"/>
        <v>1.3004833632485285E-35</v>
      </c>
      <c r="AD501" s="28">
        <f t="shared" si="351"/>
        <v>3.9299330323376238E-35</v>
      </c>
      <c r="AE501" s="28">
        <f t="shared" si="351"/>
        <v>3.0365597897566406E-35</v>
      </c>
      <c r="AF501" s="28">
        <f t="shared" si="351"/>
        <v>7.1784676260291428E-35</v>
      </c>
      <c r="AG501" s="28"/>
    </row>
    <row r="502" spans="1:33" x14ac:dyDescent="0.2">
      <c r="A502" s="198" t="s">
        <v>88</v>
      </c>
      <c r="B502" s="212"/>
      <c r="C502" s="79">
        <f>C450*C473</f>
        <v>9.1488261992095942E-27</v>
      </c>
      <c r="D502" s="79">
        <f t="shared" ref="D502:AF502" si="352">D450*D473</f>
        <v>6.9851533804880478E-27</v>
      </c>
      <c r="E502" s="79">
        <f t="shared" si="352"/>
        <v>6.0848447225584767E-27</v>
      </c>
      <c r="F502" s="79">
        <f t="shared" si="352"/>
        <v>7.9475522906886206E-27</v>
      </c>
      <c r="G502" s="79">
        <f t="shared" si="352"/>
        <v>1.4128981850113111E-26</v>
      </c>
      <c r="H502" s="79">
        <f t="shared" si="352"/>
        <v>8.9720414531602052E-27</v>
      </c>
      <c r="I502" s="79">
        <f t="shared" si="352"/>
        <v>5.1129598015942764E-27</v>
      </c>
      <c r="J502" s="79">
        <f t="shared" si="352"/>
        <v>6.3780486916160006E-27</v>
      </c>
      <c r="K502" s="79">
        <f t="shared" si="352"/>
        <v>1.2410789532579587E-26</v>
      </c>
      <c r="L502" s="79">
        <f t="shared" si="352"/>
        <v>6.5643845461577972E-27</v>
      </c>
      <c r="M502" s="79">
        <f t="shared" si="352"/>
        <v>4.558600379276249E-27</v>
      </c>
      <c r="N502" s="79">
        <f t="shared" si="352"/>
        <v>9.750418842486342E-27</v>
      </c>
      <c r="O502" s="79">
        <f t="shared" si="352"/>
        <v>2.0007981977167162E-27</v>
      </c>
      <c r="P502" s="79">
        <f t="shared" si="352"/>
        <v>4.4453476511036047E-27</v>
      </c>
      <c r="Q502" s="79">
        <f t="shared" si="352"/>
        <v>6.4283388160887741E-27</v>
      </c>
      <c r="R502" s="79">
        <f t="shared" si="352"/>
        <v>2.4383911946607809E-27</v>
      </c>
      <c r="S502" s="79">
        <f t="shared" si="352"/>
        <v>2.6258929739582985E-27</v>
      </c>
      <c r="T502" s="79">
        <f t="shared" si="352"/>
        <v>5.4175861323880142E-27</v>
      </c>
      <c r="U502" s="79">
        <f t="shared" si="352"/>
        <v>4.5000427031404365E-27</v>
      </c>
      <c r="V502" s="79">
        <f t="shared" si="352"/>
        <v>4.3759095807351358E-27</v>
      </c>
      <c r="W502" s="79">
        <f t="shared" si="352"/>
        <v>9.3889779855646127E-27</v>
      </c>
      <c r="X502" s="79">
        <f t="shared" si="352"/>
        <v>2.1701594826101645E-27</v>
      </c>
      <c r="Y502" s="79">
        <f t="shared" si="352"/>
        <v>1.4592152361070745E-27</v>
      </c>
      <c r="Z502" s="79">
        <f t="shared" si="352"/>
        <v>6.1250581237189266E-27</v>
      </c>
      <c r="AA502" s="79">
        <f t="shared" si="352"/>
        <v>1.4573961991388644E-26</v>
      </c>
      <c r="AB502" s="79">
        <f t="shared" si="352"/>
        <v>1.6185721456590143E-26</v>
      </c>
      <c r="AC502" s="79">
        <f t="shared" si="352"/>
        <v>1.6185721456590143E-26</v>
      </c>
      <c r="AD502" s="79">
        <f t="shared" si="352"/>
        <v>1.5716595106098106E-26</v>
      </c>
      <c r="AE502" s="79">
        <f t="shared" si="352"/>
        <v>6.9851533804880478E-27</v>
      </c>
      <c r="AF502" s="79">
        <f t="shared" si="352"/>
        <v>2.0986505267599641E-26</v>
      </c>
      <c r="AG502" s="30"/>
    </row>
    <row r="503" spans="1:33" x14ac:dyDescent="0.2">
      <c r="A503" s="44" t="s">
        <v>165</v>
      </c>
      <c r="B503" s="64"/>
      <c r="C503" s="28">
        <f t="shared" ref="C503:AF503" si="353">C502*(C260^2)</f>
        <v>9.0678508486557494E-39</v>
      </c>
      <c r="D503" s="28">
        <f t="shared" si="353"/>
        <v>6.9233284828081399E-39</v>
      </c>
      <c r="E503" s="28">
        <f t="shared" si="353"/>
        <v>6.0309883672462018E-39</v>
      </c>
      <c r="F503" s="28">
        <f t="shared" si="353"/>
        <v>7.8772092959950358E-39</v>
      </c>
      <c r="G503" s="28">
        <f t="shared" si="353"/>
        <v>1.4003927637324517E-38</v>
      </c>
      <c r="H503" s="28">
        <f t="shared" si="353"/>
        <v>8.8926308068069014E-39</v>
      </c>
      <c r="I503" s="28">
        <f t="shared" si="353"/>
        <v>5.0677055030332671E-39</v>
      </c>
      <c r="J503" s="28">
        <f t="shared" si="353"/>
        <v>6.3215972171418518E-39</v>
      </c>
      <c r="K503" s="28">
        <f t="shared" si="353"/>
        <v>1.2401182582365303E-39</v>
      </c>
      <c r="L503" s="28">
        <f t="shared" si="353"/>
        <v>6.5593031840609851E-40</v>
      </c>
      <c r="M503" s="28">
        <f t="shared" si="353"/>
        <v>4.5550716555979075E-40</v>
      </c>
      <c r="N503" s="28">
        <f t="shared" si="353"/>
        <v>9.7428712333562135E-40</v>
      </c>
      <c r="O503" s="28">
        <f t="shared" si="353"/>
        <v>1.9992494188397689E-40</v>
      </c>
      <c r="P503" s="28">
        <f t="shared" si="353"/>
        <v>4.4419065941541468E-40</v>
      </c>
      <c r="Q503" s="28">
        <f t="shared" si="353"/>
        <v>6.4233627643392378E-40</v>
      </c>
      <c r="R503" s="28">
        <f t="shared" si="353"/>
        <v>0</v>
      </c>
      <c r="S503" s="28">
        <f t="shared" si="353"/>
        <v>0</v>
      </c>
      <c r="T503" s="28">
        <f t="shared" si="353"/>
        <v>0</v>
      </c>
      <c r="U503" s="28">
        <f t="shared" si="353"/>
        <v>0</v>
      </c>
      <c r="V503" s="28">
        <f t="shared" si="353"/>
        <v>0</v>
      </c>
      <c r="W503" s="28">
        <f t="shared" si="353"/>
        <v>0</v>
      </c>
      <c r="X503" s="28">
        <f t="shared" si="353"/>
        <v>0</v>
      </c>
      <c r="Y503" s="28">
        <f t="shared" si="353"/>
        <v>0</v>
      </c>
      <c r="Z503" s="28">
        <f t="shared" si="353"/>
        <v>0</v>
      </c>
      <c r="AA503" s="28">
        <f t="shared" si="353"/>
        <v>1.4444969303636738E-38</v>
      </c>
      <c r="AB503" s="28">
        <f t="shared" si="353"/>
        <v>1.6042463246151352E-38</v>
      </c>
      <c r="AC503" s="28">
        <f t="shared" si="353"/>
        <v>1.6042463246151352E-38</v>
      </c>
      <c r="AD503" s="28">
        <f t="shared" si="353"/>
        <v>1.5577489086318313E-38</v>
      </c>
      <c r="AE503" s="28">
        <f t="shared" si="353"/>
        <v>6.9233284828081399E-39</v>
      </c>
      <c r="AF503" s="28">
        <f t="shared" si="353"/>
        <v>2.0800755797236895E-38</v>
      </c>
      <c r="AG503" s="28"/>
    </row>
    <row r="504" spans="1:33" x14ac:dyDescent="0.2">
      <c r="A504" s="198" t="s">
        <v>89</v>
      </c>
      <c r="B504" s="212"/>
      <c r="C504" s="79">
        <f>C452*C477</f>
        <v>2.9877877266997208E-24</v>
      </c>
      <c r="D504" s="79">
        <f t="shared" ref="D504:AF504" si="354">D452*D477</f>
        <v>2.2811839557232286E-24</v>
      </c>
      <c r="E504" s="79">
        <f t="shared" si="354"/>
        <v>1.9871646903189015E-24</v>
      </c>
      <c r="F504" s="79">
        <f t="shared" si="354"/>
        <v>2.5954804118450955E-24</v>
      </c>
      <c r="G504" s="79">
        <f t="shared" si="354"/>
        <v>4.6141873988357278E-24</v>
      </c>
      <c r="H504" s="79">
        <f t="shared" si="354"/>
        <v>2.930054058684503E-24</v>
      </c>
      <c r="I504" s="79">
        <f t="shared" si="354"/>
        <v>1.6697703300596328E-24</v>
      </c>
      <c r="J504" s="79">
        <f t="shared" si="354"/>
        <v>2.0829180909295065E-24</v>
      </c>
      <c r="K504" s="79">
        <f t="shared" si="354"/>
        <v>5.0315242969000008E-24</v>
      </c>
      <c r="L504" s="79">
        <f t="shared" si="354"/>
        <v>2.6613021074512396E-24</v>
      </c>
      <c r="M504" s="79">
        <f t="shared" si="354"/>
        <v>1.848126463507806E-24</v>
      </c>
      <c r="N504" s="79">
        <f t="shared" si="354"/>
        <v>3.9529692435872429E-24</v>
      </c>
      <c r="O504" s="79">
        <f t="shared" si="354"/>
        <v>8.1115425562397284E-25</v>
      </c>
      <c r="P504" s="79">
        <f t="shared" si="354"/>
        <v>1.8022120716800337E-24</v>
      </c>
      <c r="Q504" s="79">
        <f t="shared" si="354"/>
        <v>2.6061470833059295E-24</v>
      </c>
      <c r="R504" s="79">
        <f t="shared" si="354"/>
        <v>8.1115425562397284E-25</v>
      </c>
      <c r="S504" s="79">
        <f t="shared" si="354"/>
        <v>8.7352852376736107E-25</v>
      </c>
      <c r="T504" s="79">
        <f t="shared" si="354"/>
        <v>1.8022120716800337E-24</v>
      </c>
      <c r="U504" s="79">
        <f t="shared" si="354"/>
        <v>1.4969824354413227E-24</v>
      </c>
      <c r="V504" s="79">
        <f t="shared" si="354"/>
        <v>1.4556883597723202E-24</v>
      </c>
      <c r="W504" s="79">
        <f t="shared" si="354"/>
        <v>3.1233337233281913E-24</v>
      </c>
      <c r="X504" s="79">
        <f t="shared" si="354"/>
        <v>7.2192439980773659E-25</v>
      </c>
      <c r="Y504" s="79">
        <f t="shared" si="354"/>
        <v>4.8542196643072215E-25</v>
      </c>
      <c r="Z504" s="79">
        <f t="shared" si="354"/>
        <v>2.0375594260173554E-24</v>
      </c>
      <c r="AA504" s="79">
        <f t="shared" si="354"/>
        <v>4.7595072656447607E-24</v>
      </c>
      <c r="AB504" s="79">
        <f t="shared" si="354"/>
        <v>5.2858693413542324E-24</v>
      </c>
      <c r="AC504" s="79">
        <f t="shared" si="354"/>
        <v>5.2858693413542324E-24</v>
      </c>
      <c r="AD504" s="79">
        <f t="shared" si="354"/>
        <v>5.1326639003772653E-24</v>
      </c>
      <c r="AE504" s="79">
        <f t="shared" si="354"/>
        <v>2.2811839557232286E-24</v>
      </c>
      <c r="AF504" s="79">
        <f t="shared" si="354"/>
        <v>6.853690462528456E-24</v>
      </c>
      <c r="AG504" s="30"/>
    </row>
    <row r="505" spans="1:33" x14ac:dyDescent="0.2">
      <c r="A505" s="44" t="s">
        <v>165</v>
      </c>
      <c r="B505" s="64"/>
      <c r="C505" s="28">
        <f t="shared" ref="C505:AF505" si="355">C504*(C262^2)</f>
        <v>2.3332863686883898E-37</v>
      </c>
      <c r="D505" s="28">
        <f t="shared" si="355"/>
        <v>1.7814704106302149E-37</v>
      </c>
      <c r="E505" s="28">
        <f t="shared" si="355"/>
        <v>1.551858668815654E-37</v>
      </c>
      <c r="F505" s="28">
        <f t="shared" si="355"/>
        <v>2.0269174449837111E-37</v>
      </c>
      <c r="G505" s="28">
        <f t="shared" si="355"/>
        <v>3.6034087910821553E-37</v>
      </c>
      <c r="H505" s="28">
        <f t="shared" si="355"/>
        <v>2.2881997718761433E-37</v>
      </c>
      <c r="I505" s="28">
        <f t="shared" si="355"/>
        <v>1.3039923536575985E-37</v>
      </c>
      <c r="J505" s="28">
        <f t="shared" si="355"/>
        <v>1.6266364391384041E-37</v>
      </c>
      <c r="K505" s="28">
        <f t="shared" si="355"/>
        <v>8.1371680107194633E-38</v>
      </c>
      <c r="L505" s="28">
        <f t="shared" si="355"/>
        <v>4.3039566337689716E-38</v>
      </c>
      <c r="M505" s="28">
        <f t="shared" si="355"/>
        <v>2.9888587734506757E-38</v>
      </c>
      <c r="N505" s="28">
        <f t="shared" si="355"/>
        <v>6.392888710900984E-38</v>
      </c>
      <c r="O505" s="28">
        <f t="shared" si="355"/>
        <v>1.3118287960348356E-38</v>
      </c>
      <c r="P505" s="28">
        <f t="shared" si="355"/>
        <v>2.9146043132977605E-38</v>
      </c>
      <c r="Q505" s="28">
        <f t="shared" si="355"/>
        <v>4.2147578797488046E-38</v>
      </c>
      <c r="R505" s="28">
        <f t="shared" si="355"/>
        <v>2.2898471555018467E-38</v>
      </c>
      <c r="S505" s="28">
        <f t="shared" si="355"/>
        <v>2.465926538053786E-38</v>
      </c>
      <c r="T505" s="28">
        <f t="shared" si="355"/>
        <v>5.0875529004937799E-38</v>
      </c>
      <c r="U505" s="28">
        <f t="shared" si="355"/>
        <v>4.2259051812465557E-38</v>
      </c>
      <c r="V505" s="28">
        <f t="shared" si="355"/>
        <v>4.1093341085385583E-38</v>
      </c>
      <c r="W505" s="28">
        <f t="shared" si="355"/>
        <v>8.8170120448230584E-38</v>
      </c>
      <c r="X505" s="28">
        <f t="shared" si="355"/>
        <v>2.0379558165733773E-38</v>
      </c>
      <c r="Y505" s="28">
        <f t="shared" si="355"/>
        <v>1.3703214910639392E-38</v>
      </c>
      <c r="Z505" s="28">
        <f t="shared" si="355"/>
        <v>5.7519264966966989E-38</v>
      </c>
      <c r="AA505" s="28">
        <f t="shared" si="355"/>
        <v>3.716895054277856E-37</v>
      </c>
      <c r="AB505" s="28">
        <f t="shared" si="355"/>
        <v>4.1279528564343835E-37</v>
      </c>
      <c r="AC505" s="28">
        <f t="shared" si="355"/>
        <v>4.1279528564343835E-37</v>
      </c>
      <c r="AD505" s="28">
        <f t="shared" si="355"/>
        <v>4.0083084239179843E-37</v>
      </c>
      <c r="AE505" s="28">
        <f t="shared" si="355"/>
        <v>1.7814704106302149E-37</v>
      </c>
      <c r="AF505" s="28">
        <f t="shared" si="355"/>
        <v>5.352328878160113E-37</v>
      </c>
      <c r="AG505" s="28"/>
    </row>
    <row r="506" spans="1:33" x14ac:dyDescent="0.2">
      <c r="A506" s="198" t="s">
        <v>90</v>
      </c>
      <c r="B506" s="212"/>
      <c r="C506" s="79">
        <f>C454*C479</f>
        <v>6.852632489118412E-28</v>
      </c>
      <c r="D506" s="79">
        <f t="shared" ref="D506:AF506" si="356">D454*D479</f>
        <v>1.6957228318940701E-28</v>
      </c>
      <c r="E506" s="79">
        <f t="shared" si="356"/>
        <v>3.9470689276762286E-28</v>
      </c>
      <c r="F506" s="79">
        <f t="shared" si="356"/>
        <v>3.3668086068278676E-27</v>
      </c>
      <c r="G506" s="79">
        <f t="shared" si="356"/>
        <v>2.8720308948905133E-27</v>
      </c>
      <c r="H506" s="79">
        <f t="shared" si="356"/>
        <v>6.902575919981068E-28</v>
      </c>
      <c r="I506" s="79">
        <f t="shared" si="356"/>
        <v>4.8844166905646682E-28</v>
      </c>
      <c r="J506" s="79">
        <f t="shared" si="356"/>
        <v>4.7043936037919211E-28</v>
      </c>
      <c r="K506" s="79">
        <f t="shared" si="356"/>
        <v>5.9892482060217065E-28</v>
      </c>
      <c r="L506" s="79">
        <f t="shared" si="356"/>
        <v>3.3217554016424895E-28</v>
      </c>
      <c r="M506" s="79">
        <f t="shared" si="356"/>
        <v>2.8622559463213769E-28</v>
      </c>
      <c r="N506" s="79">
        <f t="shared" si="356"/>
        <v>6.5617092692677823E-28</v>
      </c>
      <c r="O506" s="79">
        <f t="shared" si="356"/>
        <v>6.0680510568262817E-29</v>
      </c>
      <c r="P506" s="79">
        <f t="shared" si="356"/>
        <v>2.0171054045113518E-28</v>
      </c>
      <c r="Q506" s="79">
        <f t="shared" si="356"/>
        <v>1.4506634054168968E-29</v>
      </c>
      <c r="R506" s="79">
        <f t="shared" si="356"/>
        <v>2.124569283352041E-29</v>
      </c>
      <c r="S506" s="79">
        <f t="shared" si="356"/>
        <v>2.1416910323886548E-29</v>
      </c>
      <c r="T506" s="79">
        <f t="shared" si="356"/>
        <v>2.246071463910743E-29</v>
      </c>
      <c r="U506" s="79">
        <f t="shared" si="356"/>
        <v>1.3917729913388898E-29</v>
      </c>
      <c r="V506" s="79">
        <f t="shared" si="356"/>
        <v>4.2538101127850965E-30</v>
      </c>
      <c r="W506" s="79">
        <f t="shared" si="356"/>
        <v>5.7374690898193339E-30</v>
      </c>
      <c r="X506" s="79">
        <f t="shared" si="356"/>
        <v>1.7719062323373315E-29</v>
      </c>
      <c r="Y506" s="79">
        <f t="shared" si="356"/>
        <v>1.4086000068934054E-29</v>
      </c>
      <c r="Z506" s="79">
        <f t="shared" si="356"/>
        <v>1.243202740345111E-29</v>
      </c>
      <c r="AA506" s="79">
        <f t="shared" si="356"/>
        <v>1.0047074818064082E-23</v>
      </c>
      <c r="AB506" s="79">
        <f t="shared" si="356"/>
        <v>1.5223336255091676E-23</v>
      </c>
      <c r="AC506" s="79">
        <f t="shared" si="356"/>
        <v>3.3250114572648735E-24</v>
      </c>
      <c r="AD506" s="79">
        <f t="shared" si="356"/>
        <v>2.0013871039732983E-23</v>
      </c>
      <c r="AE506" s="79">
        <f t="shared" si="356"/>
        <v>1.6176976005492464E-23</v>
      </c>
      <c r="AF506" s="79">
        <f t="shared" si="356"/>
        <v>1.689004939490413E-23</v>
      </c>
      <c r="AG506" s="30"/>
    </row>
    <row r="507" spans="1:33" x14ac:dyDescent="0.2">
      <c r="A507" s="44" t="s">
        <v>165</v>
      </c>
      <c r="B507" s="64"/>
      <c r="C507" s="28">
        <f t="shared" ref="C507:AF507" si="357">C506*(C280^2)</f>
        <v>6.1673692402065698E-35</v>
      </c>
      <c r="D507" s="28">
        <f t="shared" si="357"/>
        <v>1.5261505487046629E-35</v>
      </c>
      <c r="E507" s="28">
        <f t="shared" si="357"/>
        <v>3.5523620349086054E-35</v>
      </c>
      <c r="F507" s="28">
        <f t="shared" si="357"/>
        <v>3.0301277461450801E-34</v>
      </c>
      <c r="G507" s="28">
        <f t="shared" si="357"/>
        <v>2.5848278054014616E-34</v>
      </c>
      <c r="H507" s="28">
        <f t="shared" si="357"/>
        <v>6.2123183279829602E-35</v>
      </c>
      <c r="I507" s="28">
        <f t="shared" si="357"/>
        <v>4.3959750215082009E-35</v>
      </c>
      <c r="J507" s="28">
        <f t="shared" si="357"/>
        <v>4.2339542434127282E-35</v>
      </c>
      <c r="K507" s="28">
        <f t="shared" si="357"/>
        <v>5.3903233854195351E-35</v>
      </c>
      <c r="L507" s="28">
        <f t="shared" si="357"/>
        <v>2.9895798614782403E-35</v>
      </c>
      <c r="M507" s="28">
        <f t="shared" si="357"/>
        <v>2.5760303516892388E-35</v>
      </c>
      <c r="N507" s="28">
        <f t="shared" si="357"/>
        <v>5.9055383423410026E-35</v>
      </c>
      <c r="O507" s="28">
        <f t="shared" si="357"/>
        <v>5.4612459511436529E-36</v>
      </c>
      <c r="P507" s="28">
        <f t="shared" si="357"/>
        <v>1.8153948640602162E-35</v>
      </c>
      <c r="Q507" s="28">
        <f t="shared" si="357"/>
        <v>1.3055970648752068E-36</v>
      </c>
      <c r="R507" s="28">
        <f t="shared" si="357"/>
        <v>2.2576701815293271E-37</v>
      </c>
      <c r="S507" s="28">
        <f t="shared" si="357"/>
        <v>2.0944549366860668E-37</v>
      </c>
      <c r="T507" s="28">
        <f t="shared" si="357"/>
        <v>2.0523913588754494E-37</v>
      </c>
      <c r="U507" s="28">
        <f t="shared" si="357"/>
        <v>1.5169056154394241E-37</v>
      </c>
      <c r="V507" s="28">
        <f t="shared" si="357"/>
        <v>5.1778369667193288E-38</v>
      </c>
      <c r="W507" s="28">
        <f t="shared" si="357"/>
        <v>4.9949684325681593E-38</v>
      </c>
      <c r="X507" s="28">
        <f t="shared" si="357"/>
        <v>1.6921139612140912E-37</v>
      </c>
      <c r="Y507" s="28">
        <f t="shared" si="357"/>
        <v>1.6874589939982385E-37</v>
      </c>
      <c r="Z507" s="28">
        <f t="shared" si="357"/>
        <v>1.2578576980407069E-37</v>
      </c>
      <c r="AA507" s="28">
        <f t="shared" si="357"/>
        <v>4.0188299272256327E-31</v>
      </c>
      <c r="AB507" s="28">
        <f t="shared" si="357"/>
        <v>6.0893345020366709E-31</v>
      </c>
      <c r="AC507" s="28">
        <f t="shared" si="357"/>
        <v>1.3300045829059494E-31</v>
      </c>
      <c r="AD507" s="28">
        <f t="shared" si="357"/>
        <v>8.0055484158931935E-31</v>
      </c>
      <c r="AE507" s="28">
        <f t="shared" si="357"/>
        <v>6.4707904021969854E-31</v>
      </c>
      <c r="AF507" s="28">
        <f t="shared" si="357"/>
        <v>6.7560197579616526E-31</v>
      </c>
      <c r="AG507" s="28"/>
    </row>
    <row r="508" spans="1:33" x14ac:dyDescent="0.2">
      <c r="A508" s="198" t="s">
        <v>91</v>
      </c>
      <c r="B508" s="212"/>
      <c r="C508" s="79">
        <f>C456*C481</f>
        <v>1.3880801859225195E-4</v>
      </c>
      <c r="D508" s="79">
        <f t="shared" ref="D508:AF508" si="358">D456*D481</f>
        <v>1.3880801859225195E-4</v>
      </c>
      <c r="E508" s="79">
        <f t="shared" si="358"/>
        <v>1.3880801859225195E-4</v>
      </c>
      <c r="F508" s="79">
        <f t="shared" si="358"/>
        <v>1.3880801859225195E-4</v>
      </c>
      <c r="G508" s="79">
        <f t="shared" si="358"/>
        <v>1.3880801859225195E-4</v>
      </c>
      <c r="H508" s="79">
        <f t="shared" si="358"/>
        <v>1.3880801859225195E-4</v>
      </c>
      <c r="I508" s="79">
        <f t="shared" si="358"/>
        <v>1.3880801859225195E-4</v>
      </c>
      <c r="J508" s="79">
        <f t="shared" si="358"/>
        <v>1.3880801859225195E-4</v>
      </c>
      <c r="K508" s="79">
        <f t="shared" si="358"/>
        <v>1.3880801859225195E-4</v>
      </c>
      <c r="L508" s="79">
        <f t="shared" si="358"/>
        <v>1.3880801859225195E-4</v>
      </c>
      <c r="M508" s="79">
        <f t="shared" si="358"/>
        <v>1.3880801859225195E-4</v>
      </c>
      <c r="N508" s="79">
        <f t="shared" si="358"/>
        <v>1.3880801859225195E-4</v>
      </c>
      <c r="O508" s="79">
        <f t="shared" si="358"/>
        <v>1.3880801859225195E-4</v>
      </c>
      <c r="P508" s="79">
        <f t="shared" si="358"/>
        <v>1.3880801859225195E-4</v>
      </c>
      <c r="Q508" s="79">
        <f t="shared" si="358"/>
        <v>1.3880801859225195E-4</v>
      </c>
      <c r="R508" s="79">
        <f t="shared" si="358"/>
        <v>1.3880801859225195E-4</v>
      </c>
      <c r="S508" s="79">
        <f t="shared" si="358"/>
        <v>1.3880801859225195E-4</v>
      </c>
      <c r="T508" s="79">
        <f t="shared" si="358"/>
        <v>1.3880801859225195E-4</v>
      </c>
      <c r="U508" s="79">
        <f t="shared" si="358"/>
        <v>1.3880801859225195E-4</v>
      </c>
      <c r="V508" s="79">
        <f t="shared" si="358"/>
        <v>1.3880801859225195E-4</v>
      </c>
      <c r="W508" s="79">
        <f t="shared" si="358"/>
        <v>1.3880801859225195E-4</v>
      </c>
      <c r="X508" s="79">
        <f t="shared" si="358"/>
        <v>1.3880801859225195E-4</v>
      </c>
      <c r="Y508" s="79">
        <f t="shared" si="358"/>
        <v>1.3880801859225195E-4</v>
      </c>
      <c r="Z508" s="79">
        <f t="shared" si="358"/>
        <v>1.3880801859225195E-4</v>
      </c>
      <c r="AA508" s="79">
        <f t="shared" si="358"/>
        <v>1.3880801859225195E-4</v>
      </c>
      <c r="AB508" s="79">
        <f t="shared" si="358"/>
        <v>1.3880801859225195E-4</v>
      </c>
      <c r="AC508" s="79">
        <f t="shared" si="358"/>
        <v>1.3880801859225195E-4</v>
      </c>
      <c r="AD508" s="79">
        <f t="shared" si="358"/>
        <v>1.3880801859225195E-4</v>
      </c>
      <c r="AE508" s="79">
        <f t="shared" si="358"/>
        <v>1.3880801859225195E-4</v>
      </c>
      <c r="AF508" s="79">
        <f t="shared" si="358"/>
        <v>1.3880801859225195E-4</v>
      </c>
      <c r="AG508" s="30"/>
    </row>
    <row r="509" spans="1:33" x14ac:dyDescent="0.2">
      <c r="A509" s="44" t="s">
        <v>165</v>
      </c>
      <c r="B509" s="64"/>
      <c r="C509" s="28">
        <f t="shared" ref="C509:AF509" si="359">C508*(C278^2)</f>
        <v>3.1487961161438694E-36</v>
      </c>
      <c r="D509" s="28">
        <f t="shared" si="359"/>
        <v>3.1487961161438694E-36</v>
      </c>
      <c r="E509" s="28">
        <f t="shared" si="359"/>
        <v>3.1487961161438694E-36</v>
      </c>
      <c r="F509" s="28">
        <f t="shared" si="359"/>
        <v>3.1487961161438694E-36</v>
      </c>
      <c r="G509" s="28">
        <f t="shared" si="359"/>
        <v>3.1487961161438694E-36</v>
      </c>
      <c r="H509" s="28">
        <f t="shared" si="359"/>
        <v>3.1487961161438694E-36</v>
      </c>
      <c r="I509" s="28">
        <f t="shared" si="359"/>
        <v>3.1487961161438694E-36</v>
      </c>
      <c r="J509" s="28">
        <f t="shared" si="359"/>
        <v>3.1487961161438694E-36</v>
      </c>
      <c r="K509" s="28">
        <f t="shared" si="359"/>
        <v>1.4151785143757907E-36</v>
      </c>
      <c r="L509" s="28">
        <f t="shared" si="359"/>
        <v>2.0857358131543827E-36</v>
      </c>
      <c r="M509" s="28">
        <f t="shared" si="359"/>
        <v>2.0050790548412567E-36</v>
      </c>
      <c r="N509" s="28">
        <f t="shared" si="359"/>
        <v>2.7666495480324479E-36</v>
      </c>
      <c r="O509" s="28">
        <f t="shared" si="359"/>
        <v>1.477029243262904E-36</v>
      </c>
      <c r="P509" s="28">
        <f t="shared" si="359"/>
        <v>1.3088372147932743E-36</v>
      </c>
      <c r="Q509" s="28">
        <f t="shared" si="359"/>
        <v>7.8717355078198512E-37</v>
      </c>
      <c r="R509" s="28">
        <f t="shared" si="359"/>
        <v>2.9317258401252475E-36</v>
      </c>
      <c r="S509" s="28">
        <f t="shared" si="359"/>
        <v>3.1487961161438694E-36</v>
      </c>
      <c r="T509" s="28">
        <f t="shared" si="359"/>
        <v>3.1487961161438694E-36</v>
      </c>
      <c r="U509" s="28">
        <f t="shared" si="359"/>
        <v>3.1487961161438694E-36</v>
      </c>
      <c r="V509" s="28">
        <f t="shared" si="359"/>
        <v>1.4409798379959426E-36</v>
      </c>
      <c r="W509" s="28">
        <f t="shared" si="359"/>
        <v>2.5608211232361545E-36</v>
      </c>
      <c r="X509" s="28">
        <f t="shared" si="359"/>
        <v>2.343733852197772E-36</v>
      </c>
      <c r="Y509" s="28">
        <f t="shared" si="359"/>
        <v>3.1487961161438694E-36</v>
      </c>
      <c r="Z509" s="28">
        <f t="shared" si="359"/>
        <v>3.1487961161438694E-36</v>
      </c>
      <c r="AA509" s="28">
        <f t="shared" si="359"/>
        <v>3.1487961161438694E-36</v>
      </c>
      <c r="AB509" s="28">
        <f t="shared" si="359"/>
        <v>3.1487961161438694E-36</v>
      </c>
      <c r="AC509" s="28">
        <f t="shared" si="359"/>
        <v>3.1487961161438694E-36</v>
      </c>
      <c r="AD509" s="28">
        <f t="shared" si="359"/>
        <v>3.1487961161438694E-36</v>
      </c>
      <c r="AE509" s="28">
        <f t="shared" si="359"/>
        <v>3.1487961161438694E-36</v>
      </c>
      <c r="AF509" s="28">
        <f t="shared" si="359"/>
        <v>3.1487961161438694E-36</v>
      </c>
      <c r="AG509" s="28"/>
    </row>
    <row r="510" spans="1:33" x14ac:dyDescent="0.2">
      <c r="A510" s="198" t="s">
        <v>92</v>
      </c>
      <c r="B510" s="212"/>
      <c r="C510" s="79">
        <f>C458*C483</f>
        <v>9.9372189788933967E-34</v>
      </c>
      <c r="D510" s="79">
        <f t="shared" ref="D510:AF510" si="360">D458*D483</f>
        <v>9.9372189788933967E-34</v>
      </c>
      <c r="E510" s="79">
        <f t="shared" si="360"/>
        <v>9.9372189788933967E-34</v>
      </c>
      <c r="F510" s="79">
        <f t="shared" si="360"/>
        <v>9.9372189788933967E-34</v>
      </c>
      <c r="G510" s="79">
        <f t="shared" si="360"/>
        <v>9.9372189788933967E-34</v>
      </c>
      <c r="H510" s="79">
        <f t="shared" si="360"/>
        <v>9.9372189788933967E-34</v>
      </c>
      <c r="I510" s="79">
        <f t="shared" si="360"/>
        <v>9.9372189788933967E-34</v>
      </c>
      <c r="J510" s="79">
        <f t="shared" si="360"/>
        <v>9.9372189788933967E-34</v>
      </c>
      <c r="K510" s="79">
        <f t="shared" si="360"/>
        <v>4.4661319033889253E-34</v>
      </c>
      <c r="L510" s="79">
        <f t="shared" si="360"/>
        <v>6.5823294817886495E-34</v>
      </c>
      <c r="M510" s="79">
        <f t="shared" si="360"/>
        <v>6.327786526347392E-34</v>
      </c>
      <c r="N510" s="79">
        <f t="shared" si="360"/>
        <v>8.7312107175499109E-34</v>
      </c>
      <c r="O510" s="79">
        <f t="shared" si="360"/>
        <v>4.6613253088317949E-34</v>
      </c>
      <c r="P510" s="79">
        <f t="shared" si="360"/>
        <v>4.1305316480933593E-34</v>
      </c>
      <c r="Q510" s="79">
        <f t="shared" si="360"/>
        <v>2.4842243384411758E-34</v>
      </c>
      <c r="R510" s="79">
        <f t="shared" si="360"/>
        <v>9.2521714918406277E-34</v>
      </c>
      <c r="S510" s="79">
        <f t="shared" si="360"/>
        <v>9.9372189788933967E-34</v>
      </c>
      <c r="T510" s="79">
        <f t="shared" si="360"/>
        <v>9.9372189788933967E-34</v>
      </c>
      <c r="U510" s="79">
        <f t="shared" si="360"/>
        <v>9.9372189788933967E-34</v>
      </c>
      <c r="V510" s="79">
        <f t="shared" si="360"/>
        <v>4.5475577541908288E-34</v>
      </c>
      <c r="W510" s="79">
        <f t="shared" si="360"/>
        <v>8.0816411506939002E-34</v>
      </c>
      <c r="X510" s="79">
        <f t="shared" si="360"/>
        <v>7.3965400294181826E-34</v>
      </c>
      <c r="Y510" s="79">
        <f t="shared" si="360"/>
        <v>9.9372189788933967E-34</v>
      </c>
      <c r="Z510" s="79">
        <f t="shared" si="360"/>
        <v>9.9372189788933967E-34</v>
      </c>
      <c r="AA510" s="79">
        <f t="shared" si="360"/>
        <v>9.9372189788933967E-34</v>
      </c>
      <c r="AB510" s="79">
        <f t="shared" si="360"/>
        <v>9.9372189788933967E-34</v>
      </c>
      <c r="AC510" s="79">
        <f t="shared" si="360"/>
        <v>9.9372189788933967E-34</v>
      </c>
      <c r="AD510" s="79">
        <f t="shared" si="360"/>
        <v>9.9372189788933967E-34</v>
      </c>
      <c r="AE510" s="79">
        <f t="shared" si="360"/>
        <v>9.9372189788933967E-34</v>
      </c>
      <c r="AF510" s="79">
        <f t="shared" si="360"/>
        <v>9.9372189788933967E-34</v>
      </c>
      <c r="AG510" s="30"/>
    </row>
    <row r="511" spans="1:33" x14ac:dyDescent="0.2">
      <c r="A511" s="44" t="s">
        <v>165</v>
      </c>
      <c r="B511" s="64"/>
      <c r="C511" s="28">
        <f t="shared" ref="C511:AF511" si="361">C510*(C273^2)</f>
        <v>1.1923956631692813E-35</v>
      </c>
      <c r="D511" s="28">
        <f t="shared" si="361"/>
        <v>1.1923956631692813E-35</v>
      </c>
      <c r="E511" s="28">
        <f t="shared" si="361"/>
        <v>1.1923956631692813E-35</v>
      </c>
      <c r="F511" s="28">
        <f t="shared" si="361"/>
        <v>1.1923956631692813E-35</v>
      </c>
      <c r="G511" s="28">
        <f t="shared" si="361"/>
        <v>1.1923956631692813E-35</v>
      </c>
      <c r="H511" s="28">
        <f t="shared" si="361"/>
        <v>1.1923956631692813E-35</v>
      </c>
      <c r="I511" s="28">
        <f t="shared" si="361"/>
        <v>1.1923956631692813E-35</v>
      </c>
      <c r="J511" s="28">
        <f t="shared" si="361"/>
        <v>1.1923956631692813E-35</v>
      </c>
      <c r="K511" s="28">
        <f t="shared" si="361"/>
        <v>5.3590409188466488E-36</v>
      </c>
      <c r="L511" s="28">
        <f t="shared" si="361"/>
        <v>7.8983276350322722E-36</v>
      </c>
      <c r="M511" s="28">
        <f t="shared" si="361"/>
        <v>7.5928941764327249E-36</v>
      </c>
      <c r="N511" s="28">
        <f t="shared" si="361"/>
        <v>1.0476832417537239E-35</v>
      </c>
      <c r="O511" s="28">
        <f t="shared" si="361"/>
        <v>5.5932591348522292E-36</v>
      </c>
      <c r="P511" s="28">
        <f t="shared" si="361"/>
        <v>4.9563444603879066E-36</v>
      </c>
      <c r="Q511" s="28">
        <f t="shared" si="361"/>
        <v>2.9808926760982997E-36</v>
      </c>
      <c r="R511" s="28">
        <f t="shared" si="361"/>
        <v>1.1101948326993363E-35</v>
      </c>
      <c r="S511" s="28">
        <f t="shared" si="361"/>
        <v>1.1923956631692813E-35</v>
      </c>
      <c r="T511" s="28">
        <f t="shared" si="361"/>
        <v>1.1923956631692813E-35</v>
      </c>
      <c r="U511" s="28">
        <f t="shared" si="361"/>
        <v>1.1923956631692813E-35</v>
      </c>
      <c r="V511" s="28">
        <f t="shared" si="361"/>
        <v>5.456746153653571E-36</v>
      </c>
      <c r="W511" s="28">
        <f t="shared" si="361"/>
        <v>9.6973950959978989E-36</v>
      </c>
      <c r="X511" s="28">
        <f t="shared" si="361"/>
        <v>8.8753224340421808E-36</v>
      </c>
      <c r="Y511" s="28">
        <f t="shared" si="361"/>
        <v>1.1923956631692813E-35</v>
      </c>
      <c r="Z511" s="28">
        <f t="shared" si="361"/>
        <v>1.1923956631692813E-35</v>
      </c>
      <c r="AA511" s="28">
        <f t="shared" si="361"/>
        <v>1.1923956631692813E-35</v>
      </c>
      <c r="AB511" s="28">
        <f t="shared" si="361"/>
        <v>1.1923956631692813E-35</v>
      </c>
      <c r="AC511" s="28">
        <f t="shared" si="361"/>
        <v>1.1923956631692813E-35</v>
      </c>
      <c r="AD511" s="28">
        <f t="shared" si="361"/>
        <v>1.1923956631692813E-35</v>
      </c>
      <c r="AE511" s="28">
        <f t="shared" si="361"/>
        <v>1.1923956631692813E-35</v>
      </c>
      <c r="AF511" s="28">
        <f t="shared" si="361"/>
        <v>1.1923956631692813E-35</v>
      </c>
      <c r="AG511" s="28"/>
    </row>
    <row r="512" spans="1:33" x14ac:dyDescent="0.2">
      <c r="A512" s="198" t="s">
        <v>93</v>
      </c>
      <c r="B512" s="212"/>
      <c r="C512" s="79">
        <f>C460*C487</f>
        <v>1.0694678742721952E-31</v>
      </c>
      <c r="D512" s="79">
        <f t="shared" ref="D512:AF512" si="362">D460*D487</f>
        <v>4.932876982513645E-32</v>
      </c>
      <c r="E512" s="79">
        <f t="shared" si="362"/>
        <v>1.2961107874766235E-31</v>
      </c>
      <c r="F512" s="79">
        <f t="shared" si="362"/>
        <v>1.4019638012394027E-30</v>
      </c>
      <c r="G512" s="79">
        <f t="shared" si="362"/>
        <v>1.1228357667956422E-30</v>
      </c>
      <c r="H512" s="79">
        <f t="shared" si="362"/>
        <v>2.462476711109634E-31</v>
      </c>
      <c r="I512" s="79">
        <f t="shared" si="362"/>
        <v>1.5686142132035922E-31</v>
      </c>
      <c r="J512" s="79">
        <f t="shared" si="362"/>
        <v>1.5287620966618099E-31</v>
      </c>
      <c r="K512" s="79">
        <f t="shared" si="362"/>
        <v>0</v>
      </c>
      <c r="L512" s="79">
        <f t="shared" si="362"/>
        <v>0</v>
      </c>
      <c r="M512" s="79">
        <f t="shared" si="362"/>
        <v>0</v>
      </c>
      <c r="N512" s="79">
        <f t="shared" si="362"/>
        <v>0</v>
      </c>
      <c r="O512" s="79">
        <f t="shared" si="362"/>
        <v>9.4955677457597987E-66</v>
      </c>
      <c r="P512" s="79">
        <f t="shared" si="362"/>
        <v>0</v>
      </c>
      <c r="Q512" s="79">
        <f t="shared" si="362"/>
        <v>9.4955677457597987E-66</v>
      </c>
      <c r="R512" s="79">
        <f t="shared" si="362"/>
        <v>1.8991135491519597E-65</v>
      </c>
      <c r="S512" s="79">
        <f t="shared" si="362"/>
        <v>3.9238208747568487E-37</v>
      </c>
      <c r="T512" s="79">
        <f t="shared" si="362"/>
        <v>3.7413959302211373E-35</v>
      </c>
      <c r="U512" s="79">
        <f t="shared" si="362"/>
        <v>6.8711076468124701E-35</v>
      </c>
      <c r="V512" s="79">
        <f t="shared" si="362"/>
        <v>5.6973406474558792E-65</v>
      </c>
      <c r="W512" s="79">
        <f t="shared" si="362"/>
        <v>3.7982270983039195E-65</v>
      </c>
      <c r="X512" s="79">
        <f t="shared" si="362"/>
        <v>-1.8991135491519597E-65</v>
      </c>
      <c r="Y512" s="79">
        <f t="shared" si="362"/>
        <v>1.4479734031430869E-35</v>
      </c>
      <c r="Z512" s="79">
        <f t="shared" si="362"/>
        <v>4.5244527995968583E-37</v>
      </c>
      <c r="AA512" s="79">
        <f t="shared" si="362"/>
        <v>3.019539628775944E-33</v>
      </c>
      <c r="AB512" s="79">
        <f t="shared" si="362"/>
        <v>2.0433655010309054E-33</v>
      </c>
      <c r="AC512" s="79">
        <f t="shared" si="362"/>
        <v>1.7131479868429663E-34</v>
      </c>
      <c r="AD512" s="79">
        <f t="shared" si="362"/>
        <v>2.7127747167478402E-32</v>
      </c>
      <c r="AE512" s="79">
        <f t="shared" si="362"/>
        <v>2.1614932658158619E-32</v>
      </c>
      <c r="AF512" s="79">
        <f t="shared" si="362"/>
        <v>6.2364560548498922E-32</v>
      </c>
      <c r="AG512" s="30"/>
    </row>
    <row r="513" spans="1:33" x14ac:dyDescent="0.2">
      <c r="A513" s="44" t="s">
        <v>165</v>
      </c>
      <c r="B513" s="64"/>
      <c r="C513" s="28">
        <f t="shared" ref="C513:AF513" si="363">C512*(C266^2)</f>
        <v>1.6730073802852903E-40</v>
      </c>
      <c r="D513" s="28">
        <f t="shared" si="363"/>
        <v>7.7166783559543539E-41</v>
      </c>
      <c r="E513" s="28">
        <f t="shared" si="363"/>
        <v>2.0275531086816735E-40</v>
      </c>
      <c r="F513" s="28">
        <f t="shared" si="363"/>
        <v>2.1931428169009008E-39</v>
      </c>
      <c r="G513" s="28">
        <f t="shared" si="363"/>
        <v>1.756492709961752E-39</v>
      </c>
      <c r="H513" s="28">
        <f t="shared" si="363"/>
        <v>3.8521416216178293E-40</v>
      </c>
      <c r="I513" s="28">
        <f t="shared" si="363"/>
        <v>2.4538400999617964E-40</v>
      </c>
      <c r="J513" s="28">
        <f t="shared" si="363"/>
        <v>2.3914979888069718E-40</v>
      </c>
      <c r="K513" s="28">
        <f t="shared" si="363"/>
        <v>0</v>
      </c>
      <c r="L513" s="28">
        <f t="shared" si="363"/>
        <v>0</v>
      </c>
      <c r="M513" s="28">
        <f t="shared" si="363"/>
        <v>0</v>
      </c>
      <c r="N513" s="28">
        <f t="shared" si="363"/>
        <v>0</v>
      </c>
      <c r="O513" s="28">
        <f t="shared" si="363"/>
        <v>5.2686223774971919E-73</v>
      </c>
      <c r="P513" s="28">
        <f t="shared" si="363"/>
        <v>0</v>
      </c>
      <c r="Q513" s="28">
        <f t="shared" si="363"/>
        <v>5.2686223774971919E-73</v>
      </c>
      <c r="R513" s="28">
        <f t="shared" si="363"/>
        <v>7.5317074041394328E-73</v>
      </c>
      <c r="S513" s="28">
        <f t="shared" si="363"/>
        <v>1.5561508024688576E-44</v>
      </c>
      <c r="T513" s="28">
        <f t="shared" si="363"/>
        <v>1.4838027690364764E-42</v>
      </c>
      <c r="U513" s="28">
        <f t="shared" si="363"/>
        <v>2.7250172777318028E-42</v>
      </c>
      <c r="V513" s="28">
        <f t="shared" si="363"/>
        <v>2.25951222124183E-72</v>
      </c>
      <c r="W513" s="28">
        <f t="shared" si="363"/>
        <v>1.5063414808278866E-72</v>
      </c>
      <c r="X513" s="28">
        <f t="shared" si="363"/>
        <v>-7.5317074041394328E-73</v>
      </c>
      <c r="Y513" s="28">
        <f t="shared" si="363"/>
        <v>5.7425276157498083E-43</v>
      </c>
      <c r="Z513" s="28">
        <f t="shared" si="363"/>
        <v>1.7943558280451373E-44</v>
      </c>
      <c r="AA513" s="28">
        <f t="shared" si="363"/>
        <v>4.7235753457708125E-42</v>
      </c>
      <c r="AB513" s="28">
        <f t="shared" si="363"/>
        <v>3.1965107565026118E-42</v>
      </c>
      <c r="AC513" s="28">
        <f t="shared" si="363"/>
        <v>2.6799395236249081E-43</v>
      </c>
      <c r="AD513" s="28">
        <f t="shared" si="363"/>
        <v>4.2436918689671287E-41</v>
      </c>
      <c r="AE513" s="28">
        <f t="shared" si="363"/>
        <v>3.3813023028932213E-41</v>
      </c>
      <c r="AF513" s="28">
        <f t="shared" si="363"/>
        <v>9.7559143734814433E-41</v>
      </c>
      <c r="AG513" s="28"/>
    </row>
    <row r="514" spans="1:33" s="15" customFormat="1" x14ac:dyDescent="0.2">
      <c r="A514" s="44" t="s">
        <v>176</v>
      </c>
      <c r="B514" s="212"/>
      <c r="C514" s="79"/>
      <c r="D514" s="79"/>
      <c r="E514" s="79"/>
      <c r="F514" s="79"/>
      <c r="G514" s="79"/>
      <c r="H514" s="79"/>
      <c r="I514" s="79"/>
      <c r="J514" s="79"/>
      <c r="K514" s="79"/>
      <c r="L514" s="79"/>
      <c r="M514" s="79"/>
      <c r="N514" s="79"/>
      <c r="O514" s="79"/>
      <c r="P514" s="79"/>
      <c r="Q514" s="79"/>
      <c r="R514" s="79"/>
      <c r="S514" s="79"/>
      <c r="T514" s="79"/>
      <c r="U514" s="79"/>
      <c r="V514" s="79"/>
      <c r="W514" s="79"/>
      <c r="X514" s="79"/>
      <c r="Y514" s="79"/>
      <c r="Z514" s="79"/>
      <c r="AA514" s="79"/>
      <c r="AB514" s="79"/>
      <c r="AC514" s="79"/>
      <c r="AD514" s="79"/>
      <c r="AE514" s="79"/>
      <c r="AF514" s="79"/>
      <c r="AG514" s="30"/>
    </row>
    <row r="515" spans="1:33" s="15" customFormat="1" x14ac:dyDescent="0.2">
      <c r="A515" s="6" t="s">
        <v>177</v>
      </c>
      <c r="B515" s="32"/>
      <c r="C515" s="79"/>
      <c r="D515" s="79"/>
      <c r="E515" s="79"/>
      <c r="F515" s="79"/>
      <c r="G515" s="79"/>
      <c r="H515" s="79"/>
      <c r="I515" s="79"/>
      <c r="J515" s="79"/>
      <c r="K515" s="79"/>
      <c r="L515" s="79"/>
      <c r="M515" s="79"/>
      <c r="N515" s="79"/>
      <c r="O515" s="79"/>
      <c r="P515" s="79"/>
      <c r="Q515" s="79"/>
      <c r="R515" s="79"/>
      <c r="S515" s="79"/>
      <c r="T515" s="79"/>
      <c r="U515" s="79"/>
      <c r="V515" s="79"/>
      <c r="W515" s="79"/>
      <c r="X515" s="79"/>
      <c r="Y515" s="79"/>
      <c r="Z515" s="79"/>
      <c r="AA515" s="79"/>
      <c r="AB515" s="79"/>
      <c r="AC515" s="79"/>
      <c r="AD515" s="79"/>
      <c r="AE515" s="79"/>
      <c r="AF515" s="79"/>
      <c r="AG515" s="30"/>
    </row>
    <row r="516" spans="1:33" x14ac:dyDescent="0.2">
      <c r="A516" s="31" t="s">
        <v>166</v>
      </c>
      <c r="B516" s="212"/>
      <c r="C516" s="79">
        <f>C499+C501+C503+C505+C507+C509+C511+C513</f>
        <v>9.7096363169180438E-35</v>
      </c>
      <c r="D516" s="79">
        <f t="shared" ref="D516:AF516" si="364">D499+D501+D503+D505+D507+D509+D511+D513</f>
        <v>1.5723674028678639E-34</v>
      </c>
      <c r="E516" s="79">
        <f t="shared" si="364"/>
        <v>1.1051666909530067E-34</v>
      </c>
      <c r="F516" s="79">
        <f t="shared" si="364"/>
        <v>4.6290759375079451E-34</v>
      </c>
      <c r="G516" s="79">
        <f t="shared" si="364"/>
        <v>6.5196785185560816E-34</v>
      </c>
      <c r="H516" s="79">
        <f t="shared" si="364"/>
        <v>1.5591605917949665E-34</v>
      </c>
      <c r="I516" s="79">
        <f t="shared" si="364"/>
        <v>1.5000800558116909E-34</v>
      </c>
      <c r="J516" s="79">
        <f t="shared" si="364"/>
        <v>9.0889599459494764E-35</v>
      </c>
      <c r="K516" s="79">
        <f t="shared" si="364"/>
        <v>6.3246689901875678E-35</v>
      </c>
      <c r="L516" s="79">
        <f t="shared" si="364"/>
        <v>4.4000796324178511E-35</v>
      </c>
      <c r="M516" s="79">
        <f t="shared" si="364"/>
        <v>3.9568293091563772E-35</v>
      </c>
      <c r="N516" s="79">
        <f t="shared" si="364"/>
        <v>7.7729079248209186E-35</v>
      </c>
      <c r="O516" s="79">
        <f t="shared" si="364"/>
        <v>1.3546332026378773E-35</v>
      </c>
      <c r="P516" s="79">
        <f t="shared" si="364"/>
        <v>2.7219678014442201E-35</v>
      </c>
      <c r="Q516" s="79">
        <f t="shared" si="364"/>
        <v>7.6108865291995074E-36</v>
      </c>
      <c r="R516" s="79">
        <f t="shared" si="364"/>
        <v>1.9974728345009688E-35</v>
      </c>
      <c r="S516" s="79">
        <f t="shared" si="364"/>
        <v>2.1888758405085451E-35</v>
      </c>
      <c r="T516" s="79">
        <f t="shared" si="364"/>
        <v>2.340215133612371E-35</v>
      </c>
      <c r="U516" s="79">
        <f t="shared" si="364"/>
        <v>1.9319957459630225E-35</v>
      </c>
      <c r="V516" s="79">
        <f t="shared" si="364"/>
        <v>8.9804417195829966E-36</v>
      </c>
      <c r="W516" s="79">
        <f t="shared" si="364"/>
        <v>1.4496125774422744E-35</v>
      </c>
      <c r="X516" s="79">
        <f t="shared" si="364"/>
        <v>1.345266117617779E-35</v>
      </c>
      <c r="Y516" s="79">
        <f t="shared" si="364"/>
        <v>1.9071139088433426E-35</v>
      </c>
      <c r="Z516" s="79">
        <f t="shared" si="364"/>
        <v>1.8636297739808083E-35</v>
      </c>
      <c r="AA516" s="79">
        <f t="shared" si="364"/>
        <v>5.0174227261228282E-31</v>
      </c>
      <c r="AB516" s="79">
        <f t="shared" si="364"/>
        <v>1.0051317444934397E-30</v>
      </c>
      <c r="AC516" s="79">
        <f t="shared" si="364"/>
        <v>1.4651720383701112E-31</v>
      </c>
      <c r="AD516" s="79">
        <f t="shared" si="364"/>
        <v>9.2318205960220884E-31</v>
      </c>
      <c r="AE516" s="79">
        <f t="shared" si="364"/>
        <v>8.7079883335344462E-31</v>
      </c>
      <c r="AF516" s="79">
        <f t="shared" si="364"/>
        <v>7.9133226160898701E-31</v>
      </c>
      <c r="AG516" s="30"/>
    </row>
    <row r="517" spans="1:33" x14ac:dyDescent="0.2">
      <c r="A517" s="198" t="s">
        <v>94</v>
      </c>
      <c r="B517" s="235"/>
      <c r="C517" s="43">
        <f>(C133*C136)</f>
        <v>1.4054718891521016E-29</v>
      </c>
      <c r="D517" s="43">
        <f t="shared" ref="D517:AF517" si="365">(D133*D136)</f>
        <v>1.9702337281422192E-32</v>
      </c>
      <c r="E517" s="43">
        <f t="shared" si="365"/>
        <v>1.9182966469668507E-31</v>
      </c>
      <c r="F517" s="43">
        <f t="shared" si="365"/>
        <v>4.5164812958218733E-31</v>
      </c>
      <c r="G517" s="43">
        <f t="shared" si="365"/>
        <v>6.7045375289426422E-31</v>
      </c>
      <c r="H517" s="43">
        <f t="shared" si="365"/>
        <v>2.1681859608709133E-31</v>
      </c>
      <c r="I517" s="43">
        <f t="shared" si="365"/>
        <v>4.8578610737917662E-31</v>
      </c>
      <c r="J517" s="43">
        <f t="shared" si="365"/>
        <v>4.143594718171942E-31</v>
      </c>
      <c r="K517" s="43">
        <f t="shared" si="365"/>
        <v>2.4841697355934958E-28</v>
      </c>
      <c r="L517" s="43">
        <f t="shared" si="365"/>
        <v>1.2518221349777685E-28</v>
      </c>
      <c r="M517" s="43">
        <f t="shared" si="365"/>
        <v>1.0678573781943175E-28</v>
      </c>
      <c r="N517" s="43">
        <f t="shared" si="365"/>
        <v>2.6011951011469785E-28</v>
      </c>
      <c r="O517" s="43">
        <f t="shared" si="365"/>
        <v>1.7635648534156066E-29</v>
      </c>
      <c r="P517" s="43">
        <f t="shared" si="365"/>
        <v>7.5481093382016172E-29</v>
      </c>
      <c r="Q517" s="43">
        <f t="shared" si="365"/>
        <v>2.7966934369900905E-30</v>
      </c>
      <c r="R517" s="43">
        <f t="shared" si="365"/>
        <v>2.6739774120828168E-30</v>
      </c>
      <c r="S517" s="43">
        <f t="shared" si="365"/>
        <v>2.5055891664216768E-30</v>
      </c>
      <c r="T517" s="43">
        <f t="shared" si="365"/>
        <v>1.9871418698829744E-30</v>
      </c>
      <c r="U517" s="43">
        <f t="shared" si="365"/>
        <v>6.3528449873826693E-31</v>
      </c>
      <c r="V517" s="43">
        <f t="shared" si="365"/>
        <v>1.6225375275837314E-31</v>
      </c>
      <c r="W517" s="43">
        <f t="shared" si="365"/>
        <v>1.2151979466572162E-31</v>
      </c>
      <c r="X517" s="43">
        <f t="shared" si="365"/>
        <v>2.3076302867209009E-30</v>
      </c>
      <c r="Y517" s="43">
        <f t="shared" si="365"/>
        <v>9.9502004869923623E-31</v>
      </c>
      <c r="Z517" s="43">
        <f t="shared" si="365"/>
        <v>7.6822620130055796E-31</v>
      </c>
      <c r="AA517" s="43">
        <f t="shared" si="365"/>
        <v>5.0182811256789895E-24</v>
      </c>
      <c r="AB517" s="43">
        <f t="shared" si="365"/>
        <v>7.6112390786977915E-24</v>
      </c>
      <c r="AC517" s="43">
        <f t="shared" si="365"/>
        <v>1.6598687335378578E-24</v>
      </c>
      <c r="AD517" s="43">
        <f t="shared" si="365"/>
        <v>9.9808024995367203E-24</v>
      </c>
      <c r="AE517" s="43">
        <f t="shared" si="365"/>
        <v>8.0685274996613553E-24</v>
      </c>
      <c r="AF517" s="43">
        <f t="shared" si="365"/>
        <v>8.398365889602692E-24</v>
      </c>
      <c r="AG517" s="43"/>
    </row>
    <row r="518" spans="1:33" x14ac:dyDescent="0.2">
      <c r="A518" s="198" t="s">
        <v>167</v>
      </c>
      <c r="B518" s="235"/>
      <c r="C518" s="43">
        <f>(C137/C136)^2</f>
        <v>1.9792138164721472E-4</v>
      </c>
      <c r="D518" s="43">
        <f t="shared" ref="D518:AF518" si="366">(D137/D136)^2</f>
        <v>5.7606268455795355</v>
      </c>
      <c r="E518" s="43">
        <f t="shared" si="366"/>
        <v>4.9353085138988319E-2</v>
      </c>
      <c r="F518" s="43">
        <f t="shared" si="366"/>
        <v>6.7615236686815891E-2</v>
      </c>
      <c r="G518" s="43">
        <f t="shared" si="366"/>
        <v>8.3816054082256147E-2</v>
      </c>
      <c r="H518" s="43">
        <f t="shared" si="366"/>
        <v>6.6367366488906315E-2</v>
      </c>
      <c r="I518" s="43">
        <f t="shared" si="366"/>
        <v>1.8787477576995237E-2</v>
      </c>
      <c r="J518" s="43">
        <f t="shared" si="366"/>
        <v>1.203727236347602E-2</v>
      </c>
      <c r="K518" s="43">
        <f t="shared" si="366"/>
        <v>1.0088673101344669E-6</v>
      </c>
      <c r="L518" s="43">
        <f t="shared" si="366"/>
        <v>2.3478270464144069E-6</v>
      </c>
      <c r="M518" s="43">
        <f t="shared" si="366"/>
        <v>2.3787384711223066E-6</v>
      </c>
      <c r="N518" s="43">
        <f t="shared" si="366"/>
        <v>1.601901313208256E-6</v>
      </c>
      <c r="O518" s="43">
        <f t="shared" si="366"/>
        <v>7.8140361915234907E-6</v>
      </c>
      <c r="P518" s="43">
        <f t="shared" si="366"/>
        <v>2.3903096020534674E-6</v>
      </c>
      <c r="Q518" s="43">
        <f t="shared" si="366"/>
        <v>3.85598372629043E-5</v>
      </c>
      <c r="R518" s="43">
        <f t="shared" si="366"/>
        <v>1.2215604122081002E-4</v>
      </c>
      <c r="S518" s="43">
        <f t="shared" si="366"/>
        <v>1.443328503371767E-4</v>
      </c>
      <c r="T518" s="43">
        <f t="shared" si="366"/>
        <v>2.0563024871550993E-4</v>
      </c>
      <c r="U518" s="43">
        <f t="shared" si="366"/>
        <v>6.5084798778286643E-4</v>
      </c>
      <c r="V518" s="43">
        <f t="shared" si="366"/>
        <v>1.8513134991936344E-3</v>
      </c>
      <c r="W518" s="43">
        <f t="shared" si="366"/>
        <v>6.2658959282908596E-3</v>
      </c>
      <c r="X518" s="43">
        <f t="shared" si="366"/>
        <v>9.0375246429638862E-5</v>
      </c>
      <c r="Y518" s="43">
        <f t="shared" si="366"/>
        <v>3.0580212423204618E-4</v>
      </c>
      <c r="Z518" s="43">
        <f t="shared" si="366"/>
        <v>4.7398864378496951E-4</v>
      </c>
      <c r="AA518" s="43">
        <f t="shared" si="366"/>
        <v>1.8046638542263491E-7</v>
      </c>
      <c r="AB518" s="43">
        <f t="shared" si="366"/>
        <v>2.1260711172743025E-7</v>
      </c>
      <c r="AC518" s="43">
        <f t="shared" si="366"/>
        <v>1.6923456554225006E-7</v>
      </c>
      <c r="AD518" s="43">
        <f t="shared" si="366"/>
        <v>1.7313550752802462E-7</v>
      </c>
      <c r="AE518" s="43">
        <f t="shared" si="366"/>
        <v>1.8793391626663052E-7</v>
      </c>
      <c r="AF518" s="43">
        <f t="shared" si="366"/>
        <v>1.7338914923878613E-7</v>
      </c>
      <c r="AG518" s="43"/>
    </row>
    <row r="519" spans="1:33" x14ac:dyDescent="0.2">
      <c r="A519" s="198" t="s">
        <v>168</v>
      </c>
      <c r="B519" s="235"/>
      <c r="C519" s="43">
        <f>(C134/C133)^2</f>
        <v>6.0952963303431982E-6</v>
      </c>
      <c r="D519" s="43">
        <f t="shared" ref="D519:AF519" si="367">(D134/D133)^2</f>
        <v>8.5538156168652108E-4</v>
      </c>
      <c r="E519" s="43">
        <f t="shared" si="367"/>
        <v>4.6991102856107326E-4</v>
      </c>
      <c r="F519" s="43">
        <f t="shared" si="367"/>
        <v>2.3549480044439647E-3</v>
      </c>
      <c r="G519" s="43">
        <f t="shared" si="367"/>
        <v>8.0736912224954659E-4</v>
      </c>
      <c r="H519" s="43">
        <f t="shared" si="367"/>
        <v>8.6694000838218987E-4</v>
      </c>
      <c r="I519" s="43">
        <f t="shared" si="367"/>
        <v>2.3787537361003079E-4</v>
      </c>
      <c r="J519" s="43">
        <f t="shared" si="367"/>
        <v>3.2178677889921039E-4</v>
      </c>
      <c r="K519" s="43">
        <f t="shared" si="367"/>
        <v>9.8115883907881414E-8</v>
      </c>
      <c r="L519" s="43">
        <f t="shared" si="367"/>
        <v>1.1335653688283635E-7</v>
      </c>
      <c r="M519" s="43">
        <f t="shared" si="367"/>
        <v>1.2846056048835242E-7</v>
      </c>
      <c r="N519" s="43">
        <f t="shared" si="367"/>
        <v>1.0680977563258154E-7</v>
      </c>
      <c r="O519" s="43">
        <f t="shared" si="367"/>
        <v>1.5073843733867284E-7</v>
      </c>
      <c r="P519" s="43">
        <f t="shared" si="367"/>
        <v>1.1900811078014808E-7</v>
      </c>
      <c r="Q519" s="43">
        <f t="shared" si="367"/>
        <v>4.3608802688134214E-7</v>
      </c>
      <c r="R519" s="43">
        <f t="shared" si="367"/>
        <v>7.1325544386667539E-7</v>
      </c>
      <c r="S519" s="43">
        <f t="shared" si="367"/>
        <v>8.8831279735907683E-7</v>
      </c>
      <c r="T519" s="43">
        <f t="shared" si="367"/>
        <v>1.0987276661360834E-6</v>
      </c>
      <c r="U519" s="43">
        <f t="shared" si="367"/>
        <v>2.9901642577919741E-6</v>
      </c>
      <c r="V519" s="43">
        <f t="shared" si="367"/>
        <v>5.1865373503911009E-6</v>
      </c>
      <c r="W519" s="43">
        <f t="shared" si="367"/>
        <v>1.1355375964818452E-5</v>
      </c>
      <c r="X519" s="43">
        <f t="shared" si="367"/>
        <v>6.4919262307797954E-7</v>
      </c>
      <c r="Y519" s="43">
        <f t="shared" si="367"/>
        <v>1.935978244352179E-6</v>
      </c>
      <c r="Z519" s="43">
        <f t="shared" si="367"/>
        <v>2.4358594705556447E-6</v>
      </c>
      <c r="AA519" s="43">
        <f t="shared" si="367"/>
        <v>5.9917240658098586E-8</v>
      </c>
      <c r="AB519" s="43">
        <f t="shared" si="367"/>
        <v>9.2104758609475647E-8</v>
      </c>
      <c r="AC519" s="43">
        <f t="shared" si="367"/>
        <v>4.8237895349922593E-8</v>
      </c>
      <c r="AD519" s="43">
        <f t="shared" si="367"/>
        <v>5.2316629834313022E-8</v>
      </c>
      <c r="AE519" s="43">
        <f t="shared" si="367"/>
        <v>6.7627660587546666E-8</v>
      </c>
      <c r="AF519" s="43">
        <f t="shared" si="367"/>
        <v>5.3456090531793967E-8</v>
      </c>
      <c r="AG519" s="43"/>
    </row>
    <row r="520" spans="1:33" x14ac:dyDescent="0.2">
      <c r="A520" s="198"/>
    </row>
    <row r="521" spans="1:33" s="214" customFormat="1" ht="18" x14ac:dyDescent="0.2">
      <c r="A521" s="1" t="s">
        <v>6</v>
      </c>
      <c r="B521" s="64"/>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c r="AA521" s="28"/>
      <c r="AB521" s="28"/>
      <c r="AC521" s="28"/>
      <c r="AD521" s="28"/>
      <c r="AE521" s="28"/>
      <c r="AF521" s="28"/>
      <c r="AG521" s="28"/>
    </row>
    <row r="522" spans="1:33" s="47" customFormat="1" x14ac:dyDescent="0.2">
      <c r="A522" s="4" t="s">
        <v>96</v>
      </c>
      <c r="B522" s="236"/>
      <c r="C522" s="79">
        <f>C77</f>
        <v>4.8332558265457015E-2</v>
      </c>
      <c r="D522" s="79">
        <f t="shared" ref="D522:AF522" si="368">D77</f>
        <v>1.7833103085947252E-2</v>
      </c>
      <c r="E522" s="79">
        <f t="shared" si="368"/>
        <v>4.3012612839500378E-2</v>
      </c>
      <c r="F522" s="79">
        <f t="shared" si="368"/>
        <v>4.9131603376084319E-2</v>
      </c>
      <c r="G522" s="79">
        <f t="shared" si="368"/>
        <v>3.0593576112281192E-2</v>
      </c>
      <c r="H522" s="79">
        <f t="shared" si="368"/>
        <v>4.8145246230997599E-2</v>
      </c>
      <c r="I522" s="79">
        <f t="shared" si="368"/>
        <v>4.5201106593627235E-2</v>
      </c>
      <c r="J522" s="79">
        <f t="shared" si="368"/>
        <v>5.5011378775627812E-2</v>
      </c>
      <c r="K522" s="79">
        <f t="shared" si="368"/>
        <v>4.7130678385134746E-2</v>
      </c>
      <c r="L522" s="79">
        <f t="shared" si="368"/>
        <v>4.7138789675664185E-2</v>
      </c>
      <c r="M522" s="79">
        <f t="shared" si="368"/>
        <v>4.7120379264937409E-2</v>
      </c>
      <c r="N522" s="79">
        <f t="shared" si="368"/>
        <v>4.7083979818152044E-2</v>
      </c>
      <c r="O522" s="79">
        <f t="shared" si="368"/>
        <v>4.7057538248865279E-2</v>
      </c>
      <c r="P522" s="79">
        <f t="shared" si="368"/>
        <v>4.6906293554748367E-2</v>
      </c>
      <c r="Q522" s="79">
        <f t="shared" si="368"/>
        <v>4.639991552541483E-2</v>
      </c>
      <c r="R522" s="79">
        <f t="shared" si="368"/>
        <v>4.544560985221234E-2</v>
      </c>
      <c r="S522" s="79">
        <f t="shared" si="368"/>
        <v>4.5778917979221151E-2</v>
      </c>
      <c r="T522" s="79">
        <f t="shared" si="368"/>
        <v>4.615171846826864E-2</v>
      </c>
      <c r="U522" s="79">
        <f t="shared" si="368"/>
        <v>4.6467332731445883E-2</v>
      </c>
      <c r="V522" s="79">
        <f t="shared" si="368"/>
        <v>4.4435076901979897E-2</v>
      </c>
      <c r="W522" s="79">
        <f t="shared" si="368"/>
        <v>4.4647882075268389E-2</v>
      </c>
      <c r="X522" s="79">
        <f t="shared" si="368"/>
        <v>4.6855600533966042E-2</v>
      </c>
      <c r="Y522" s="79">
        <f t="shared" si="368"/>
        <v>4.6910055449342507E-2</v>
      </c>
      <c r="Z522" s="79">
        <f t="shared" si="368"/>
        <v>4.6038590988634144E-2</v>
      </c>
      <c r="AA522" s="79">
        <f t="shared" si="368"/>
        <v>0.17248577895518019</v>
      </c>
      <c r="AB522" s="79">
        <f t="shared" si="368"/>
        <v>0.17263981307808413</v>
      </c>
      <c r="AC522" s="79">
        <f t="shared" si="368"/>
        <v>0.17264949528964146</v>
      </c>
      <c r="AD522" s="79">
        <f t="shared" si="368"/>
        <v>0.17268498143367891</v>
      </c>
      <c r="AE522" s="79">
        <f t="shared" si="368"/>
        <v>0.17247020999132817</v>
      </c>
      <c r="AF522" s="79">
        <f t="shared" si="368"/>
        <v>0.17268022852801942</v>
      </c>
      <c r="AG522" s="215"/>
    </row>
    <row r="523" spans="1:33" s="214" customFormat="1" x14ac:dyDescent="0.2">
      <c r="A523" s="4" t="s">
        <v>97</v>
      </c>
      <c r="B523" s="62"/>
      <c r="C523" s="28">
        <v>2500000000</v>
      </c>
      <c r="D523" s="28">
        <v>2500000000</v>
      </c>
      <c r="E523" s="28">
        <v>2500000000</v>
      </c>
      <c r="F523" s="28">
        <v>2500000000</v>
      </c>
      <c r="G523" s="28">
        <v>2500000000</v>
      </c>
      <c r="H523" s="28">
        <v>2500000000</v>
      </c>
      <c r="I523" s="28">
        <v>2500000000</v>
      </c>
      <c r="J523" s="28">
        <v>2500000000</v>
      </c>
      <c r="K523" s="28">
        <v>2500000000</v>
      </c>
      <c r="L523" s="28">
        <v>2500000000</v>
      </c>
      <c r="M523" s="28">
        <v>2500000000</v>
      </c>
      <c r="N523" s="28">
        <v>2500000000</v>
      </c>
      <c r="O523" s="28">
        <v>2500000000</v>
      </c>
      <c r="P523" s="28">
        <v>2500000000</v>
      </c>
      <c r="Q523" s="28">
        <v>2500000000</v>
      </c>
      <c r="R523" s="28">
        <v>2500000000</v>
      </c>
      <c r="S523" s="28">
        <v>2500000000</v>
      </c>
      <c r="T523" s="28">
        <v>2500000000</v>
      </c>
      <c r="U523" s="28">
        <v>2500000000</v>
      </c>
      <c r="V523" s="28">
        <v>2500000000</v>
      </c>
      <c r="W523" s="28">
        <v>2500000000</v>
      </c>
      <c r="X523" s="28">
        <v>2500000000</v>
      </c>
      <c r="Y523" s="28">
        <v>2500000000</v>
      </c>
      <c r="Z523" s="28">
        <v>2500000000</v>
      </c>
      <c r="AA523" s="28">
        <v>2500000000</v>
      </c>
      <c r="AB523" s="28">
        <v>2500000000</v>
      </c>
      <c r="AC523" s="28">
        <v>2500000000</v>
      </c>
      <c r="AD523" s="28">
        <v>2500000000</v>
      </c>
      <c r="AE523" s="28">
        <v>2500000000</v>
      </c>
      <c r="AF523" s="28">
        <v>2500000000</v>
      </c>
      <c r="AG523" s="48"/>
    </row>
    <row r="524" spans="1:33" s="214" customFormat="1" x14ac:dyDescent="0.2">
      <c r="A524" s="4" t="s">
        <v>98</v>
      </c>
      <c r="B524" s="62"/>
      <c r="C524" s="28">
        <v>5000000000</v>
      </c>
      <c r="D524" s="28">
        <v>5000000000</v>
      </c>
      <c r="E524" s="28">
        <v>5000000000</v>
      </c>
      <c r="F524" s="28">
        <v>5000000000</v>
      </c>
      <c r="G524" s="28">
        <v>5000000000</v>
      </c>
      <c r="H524" s="28">
        <v>5000000000</v>
      </c>
      <c r="I524" s="28">
        <v>5000000000</v>
      </c>
      <c r="J524" s="28">
        <v>5000000000</v>
      </c>
      <c r="K524" s="28">
        <v>5000000000</v>
      </c>
      <c r="L524" s="28">
        <v>5000000000</v>
      </c>
      <c r="M524" s="28">
        <v>5000000000</v>
      </c>
      <c r="N524" s="28">
        <v>5000000000</v>
      </c>
      <c r="O524" s="28">
        <v>5000000000</v>
      </c>
      <c r="P524" s="28">
        <v>5000000000</v>
      </c>
      <c r="Q524" s="28">
        <v>5000000000</v>
      </c>
      <c r="R524" s="28">
        <v>5000000000</v>
      </c>
      <c r="S524" s="28">
        <v>5000000000</v>
      </c>
      <c r="T524" s="28">
        <v>5000000000</v>
      </c>
      <c r="U524" s="28">
        <v>5000000000</v>
      </c>
      <c r="V524" s="28">
        <v>5000000000</v>
      </c>
      <c r="W524" s="28">
        <v>5000000000</v>
      </c>
      <c r="X524" s="28">
        <v>5000000000</v>
      </c>
      <c r="Y524" s="28">
        <v>5000000000</v>
      </c>
      <c r="Z524" s="28">
        <v>5000000000</v>
      </c>
      <c r="AA524" s="28">
        <v>5000000000</v>
      </c>
      <c r="AB524" s="28">
        <v>5000000000</v>
      </c>
      <c r="AC524" s="28">
        <v>5000000000</v>
      </c>
      <c r="AD524" s="28">
        <v>5000000000</v>
      </c>
      <c r="AE524" s="28">
        <v>5000000000</v>
      </c>
      <c r="AF524" s="28">
        <v>5000000000</v>
      </c>
      <c r="AG524" s="48"/>
    </row>
    <row r="525" spans="1:33" s="214" customFormat="1" x14ac:dyDescent="0.2">
      <c r="A525" s="4" t="s">
        <v>99</v>
      </c>
      <c r="B525" s="62"/>
      <c r="C525" s="28">
        <v>-5000000000</v>
      </c>
      <c r="D525" s="28">
        <v>-5000000000</v>
      </c>
      <c r="E525" s="28">
        <v>-5000000000</v>
      </c>
      <c r="F525" s="28">
        <v>-5000000000</v>
      </c>
      <c r="G525" s="28">
        <v>-5000000000</v>
      </c>
      <c r="H525" s="28">
        <v>-5000000000</v>
      </c>
      <c r="I525" s="28">
        <v>-5000000000</v>
      </c>
      <c r="J525" s="28">
        <v>-5000000000</v>
      </c>
      <c r="K525" s="28">
        <v>-5000000000</v>
      </c>
      <c r="L525" s="28">
        <v>-5000000000</v>
      </c>
      <c r="M525" s="28">
        <v>-5000000000</v>
      </c>
      <c r="N525" s="28">
        <v>-5000000000</v>
      </c>
      <c r="O525" s="28">
        <v>-5000000000</v>
      </c>
      <c r="P525" s="28">
        <v>-5000000000</v>
      </c>
      <c r="Q525" s="28">
        <v>-5000000000</v>
      </c>
      <c r="R525" s="28">
        <v>-5000000000</v>
      </c>
      <c r="S525" s="28">
        <v>-5000000000</v>
      </c>
      <c r="T525" s="28">
        <v>-5000000000</v>
      </c>
      <c r="U525" s="28">
        <v>-5000000000</v>
      </c>
      <c r="V525" s="28">
        <v>-5000000000</v>
      </c>
      <c r="W525" s="28">
        <v>-5000000000</v>
      </c>
      <c r="X525" s="28">
        <v>-5000000000</v>
      </c>
      <c r="Y525" s="28">
        <v>-5000000000</v>
      </c>
      <c r="Z525" s="28">
        <v>-5000000000</v>
      </c>
      <c r="AA525" s="28">
        <v>-5000000000</v>
      </c>
      <c r="AB525" s="28">
        <v>-5000000000</v>
      </c>
      <c r="AC525" s="28">
        <v>-5000000000</v>
      </c>
      <c r="AD525" s="28">
        <v>-5000000000</v>
      </c>
      <c r="AE525" s="28">
        <v>-5000000000</v>
      </c>
      <c r="AF525" s="28">
        <v>-5000000000</v>
      </c>
      <c r="AG525" s="48"/>
    </row>
    <row r="526" spans="1:33" s="47" customFormat="1" x14ac:dyDescent="0.2">
      <c r="A526" s="4" t="s">
        <v>100</v>
      </c>
      <c r="B526" s="236"/>
      <c r="C526" s="79">
        <f t="shared" ref="C526:AF526" si="369">(1/C245)*((EXP(C$241*C523)-1)/(EXP(C$242*C523)-1))</f>
        <v>0.16426096549253039</v>
      </c>
      <c r="D526" s="79">
        <f t="shared" si="369"/>
        <v>0.16426096549253039</v>
      </c>
      <c r="E526" s="79">
        <f t="shared" si="369"/>
        <v>0.16426096549253039</v>
      </c>
      <c r="F526" s="79">
        <f t="shared" si="369"/>
        <v>0.16426096549253039</v>
      </c>
      <c r="G526" s="79">
        <f t="shared" si="369"/>
        <v>0.16426096549253039</v>
      </c>
      <c r="H526" s="79">
        <f t="shared" si="369"/>
        <v>0.16426096549253039</v>
      </c>
      <c r="I526" s="79">
        <f t="shared" si="369"/>
        <v>0.16426096549253039</v>
      </c>
      <c r="J526" s="79">
        <f t="shared" si="369"/>
        <v>0.16426096549253039</v>
      </c>
      <c r="K526" s="79">
        <f t="shared" si="369"/>
        <v>0.16426096549253039</v>
      </c>
      <c r="L526" s="79">
        <f t="shared" si="369"/>
        <v>0.16426096549253039</v>
      </c>
      <c r="M526" s="79">
        <f t="shared" si="369"/>
        <v>0.16426096549253039</v>
      </c>
      <c r="N526" s="79">
        <f t="shared" si="369"/>
        <v>0.16426096549253039</v>
      </c>
      <c r="O526" s="79">
        <f t="shared" si="369"/>
        <v>0.16426096549253039</v>
      </c>
      <c r="P526" s="79">
        <f t="shared" si="369"/>
        <v>0.16426096549253039</v>
      </c>
      <c r="Q526" s="79">
        <f t="shared" si="369"/>
        <v>0.16426096549253039</v>
      </c>
      <c r="R526" s="79">
        <f t="shared" si="369"/>
        <v>0.16426096549253039</v>
      </c>
      <c r="S526" s="79">
        <f t="shared" si="369"/>
        <v>0.16426096549253039</v>
      </c>
      <c r="T526" s="79">
        <f t="shared" si="369"/>
        <v>0.16426096549253039</v>
      </c>
      <c r="U526" s="79">
        <f t="shared" si="369"/>
        <v>0.16426096549253039</v>
      </c>
      <c r="V526" s="79">
        <f t="shared" si="369"/>
        <v>0.16426096549253039</v>
      </c>
      <c r="W526" s="79">
        <f t="shared" si="369"/>
        <v>0.16426096549253039</v>
      </c>
      <c r="X526" s="79">
        <f t="shared" si="369"/>
        <v>0.16426096549253039</v>
      </c>
      <c r="Y526" s="79">
        <f t="shared" si="369"/>
        <v>0.16426096549253039</v>
      </c>
      <c r="Z526" s="79">
        <f t="shared" si="369"/>
        <v>0.16426096549253039</v>
      </c>
      <c r="AA526" s="79">
        <f t="shared" si="369"/>
        <v>0.16426096549253039</v>
      </c>
      <c r="AB526" s="79">
        <f t="shared" si="369"/>
        <v>0.16426096549253039</v>
      </c>
      <c r="AC526" s="79">
        <f t="shared" si="369"/>
        <v>0.16426096549253039</v>
      </c>
      <c r="AD526" s="79">
        <f t="shared" si="369"/>
        <v>0.16426096549253039</v>
      </c>
      <c r="AE526" s="79">
        <f t="shared" si="369"/>
        <v>0.16426096549253039</v>
      </c>
      <c r="AF526" s="79">
        <f t="shared" si="369"/>
        <v>0.16426096549253039</v>
      </c>
      <c r="AG526" s="215"/>
    </row>
    <row r="527" spans="1:33" s="214" customFormat="1" x14ac:dyDescent="0.2">
      <c r="A527" s="4" t="s">
        <v>97</v>
      </c>
      <c r="B527" s="62"/>
      <c r="C527" s="28">
        <f t="shared" ref="C527:AF527" si="370">IF(C$522&gt;C526,C523+((C524-C523)/2),C523-((C523-C525)/2))</f>
        <v>-1250000000</v>
      </c>
      <c r="D527" s="28">
        <f t="shared" si="370"/>
        <v>-1250000000</v>
      </c>
      <c r="E527" s="28">
        <f t="shared" si="370"/>
        <v>-1250000000</v>
      </c>
      <c r="F527" s="28">
        <f t="shared" si="370"/>
        <v>-1250000000</v>
      </c>
      <c r="G527" s="28">
        <f t="shared" si="370"/>
        <v>-1250000000</v>
      </c>
      <c r="H527" s="28">
        <f t="shared" si="370"/>
        <v>-1250000000</v>
      </c>
      <c r="I527" s="28">
        <f t="shared" si="370"/>
        <v>-1250000000</v>
      </c>
      <c r="J527" s="28">
        <f t="shared" si="370"/>
        <v>-1250000000</v>
      </c>
      <c r="K527" s="28">
        <f t="shared" si="370"/>
        <v>-1250000000</v>
      </c>
      <c r="L527" s="28">
        <f t="shared" si="370"/>
        <v>-1250000000</v>
      </c>
      <c r="M527" s="28">
        <f t="shared" si="370"/>
        <v>-1250000000</v>
      </c>
      <c r="N527" s="28">
        <f t="shared" si="370"/>
        <v>-1250000000</v>
      </c>
      <c r="O527" s="28">
        <f t="shared" si="370"/>
        <v>-1250000000</v>
      </c>
      <c r="P527" s="28">
        <f t="shared" si="370"/>
        <v>-1250000000</v>
      </c>
      <c r="Q527" s="28">
        <f t="shared" si="370"/>
        <v>-1250000000</v>
      </c>
      <c r="R527" s="28">
        <f t="shared" si="370"/>
        <v>-1250000000</v>
      </c>
      <c r="S527" s="28">
        <f t="shared" si="370"/>
        <v>-1250000000</v>
      </c>
      <c r="T527" s="28">
        <f t="shared" si="370"/>
        <v>-1250000000</v>
      </c>
      <c r="U527" s="28">
        <f t="shared" si="370"/>
        <v>-1250000000</v>
      </c>
      <c r="V527" s="28">
        <f t="shared" si="370"/>
        <v>-1250000000</v>
      </c>
      <c r="W527" s="28">
        <f t="shared" si="370"/>
        <v>-1250000000</v>
      </c>
      <c r="X527" s="28">
        <f t="shared" si="370"/>
        <v>-1250000000</v>
      </c>
      <c r="Y527" s="28">
        <f t="shared" si="370"/>
        <v>-1250000000</v>
      </c>
      <c r="Z527" s="28">
        <f t="shared" si="370"/>
        <v>-1250000000</v>
      </c>
      <c r="AA527" s="28">
        <f t="shared" si="370"/>
        <v>3750000000</v>
      </c>
      <c r="AB527" s="28">
        <f t="shared" si="370"/>
        <v>3750000000</v>
      </c>
      <c r="AC527" s="28">
        <f t="shared" si="370"/>
        <v>3750000000</v>
      </c>
      <c r="AD527" s="28">
        <f t="shared" si="370"/>
        <v>3750000000</v>
      </c>
      <c r="AE527" s="28">
        <f t="shared" si="370"/>
        <v>3750000000</v>
      </c>
      <c r="AF527" s="28">
        <f t="shared" si="370"/>
        <v>3750000000</v>
      </c>
      <c r="AG527" s="48"/>
    </row>
    <row r="528" spans="1:33" s="214" customFormat="1" x14ac:dyDescent="0.2">
      <c r="A528" s="4" t="s">
        <v>98</v>
      </c>
      <c r="B528" s="62"/>
      <c r="C528" s="28">
        <f>IF(C$522&lt;C526,C523,C524)</f>
        <v>2500000000</v>
      </c>
      <c r="D528" s="28">
        <f t="shared" ref="D528:AF528" si="371">IF(D$522&lt;D526,D523,D524)</f>
        <v>2500000000</v>
      </c>
      <c r="E528" s="28">
        <f t="shared" si="371"/>
        <v>2500000000</v>
      </c>
      <c r="F528" s="28">
        <f t="shared" si="371"/>
        <v>2500000000</v>
      </c>
      <c r="G528" s="28">
        <f t="shared" si="371"/>
        <v>2500000000</v>
      </c>
      <c r="H528" s="28">
        <f t="shared" si="371"/>
        <v>2500000000</v>
      </c>
      <c r="I528" s="28">
        <f t="shared" si="371"/>
        <v>2500000000</v>
      </c>
      <c r="J528" s="28">
        <f t="shared" si="371"/>
        <v>2500000000</v>
      </c>
      <c r="K528" s="28">
        <f t="shared" si="371"/>
        <v>2500000000</v>
      </c>
      <c r="L528" s="28">
        <f t="shared" si="371"/>
        <v>2500000000</v>
      </c>
      <c r="M528" s="28">
        <f t="shared" si="371"/>
        <v>2500000000</v>
      </c>
      <c r="N528" s="28">
        <f t="shared" si="371"/>
        <v>2500000000</v>
      </c>
      <c r="O528" s="28">
        <f t="shared" si="371"/>
        <v>2500000000</v>
      </c>
      <c r="P528" s="28">
        <f t="shared" si="371"/>
        <v>2500000000</v>
      </c>
      <c r="Q528" s="28">
        <f t="shared" si="371"/>
        <v>2500000000</v>
      </c>
      <c r="R528" s="28">
        <f t="shared" si="371"/>
        <v>2500000000</v>
      </c>
      <c r="S528" s="28">
        <f t="shared" si="371"/>
        <v>2500000000</v>
      </c>
      <c r="T528" s="28">
        <f t="shared" si="371"/>
        <v>2500000000</v>
      </c>
      <c r="U528" s="28">
        <f t="shared" si="371"/>
        <v>2500000000</v>
      </c>
      <c r="V528" s="28">
        <f t="shared" si="371"/>
        <v>2500000000</v>
      </c>
      <c r="W528" s="28">
        <f t="shared" si="371"/>
        <v>2500000000</v>
      </c>
      <c r="X528" s="28">
        <f t="shared" si="371"/>
        <v>2500000000</v>
      </c>
      <c r="Y528" s="28">
        <f t="shared" si="371"/>
        <v>2500000000</v>
      </c>
      <c r="Z528" s="28">
        <f t="shared" si="371"/>
        <v>2500000000</v>
      </c>
      <c r="AA528" s="28">
        <f t="shared" si="371"/>
        <v>5000000000</v>
      </c>
      <c r="AB528" s="28">
        <f t="shared" si="371"/>
        <v>5000000000</v>
      </c>
      <c r="AC528" s="28">
        <f t="shared" si="371"/>
        <v>5000000000</v>
      </c>
      <c r="AD528" s="28">
        <f t="shared" si="371"/>
        <v>5000000000</v>
      </c>
      <c r="AE528" s="28">
        <f t="shared" si="371"/>
        <v>5000000000</v>
      </c>
      <c r="AF528" s="28">
        <f t="shared" si="371"/>
        <v>5000000000</v>
      </c>
      <c r="AG528" s="48"/>
    </row>
    <row r="529" spans="1:33" s="214" customFormat="1" x14ac:dyDescent="0.2">
      <c r="A529" s="4" t="s">
        <v>99</v>
      </c>
      <c r="B529" s="62"/>
      <c r="C529" s="28">
        <f>IF(C$522&gt;C526,C523,C525)</f>
        <v>-5000000000</v>
      </c>
      <c r="D529" s="28">
        <f t="shared" ref="D529:AF529" si="372">IF(D$522&gt;D526,D523,D525)</f>
        <v>-5000000000</v>
      </c>
      <c r="E529" s="28">
        <f t="shared" si="372"/>
        <v>-5000000000</v>
      </c>
      <c r="F529" s="28">
        <f t="shared" si="372"/>
        <v>-5000000000</v>
      </c>
      <c r="G529" s="28">
        <f t="shared" si="372"/>
        <v>-5000000000</v>
      </c>
      <c r="H529" s="28">
        <f t="shared" si="372"/>
        <v>-5000000000</v>
      </c>
      <c r="I529" s="28">
        <f t="shared" si="372"/>
        <v>-5000000000</v>
      </c>
      <c r="J529" s="28">
        <f t="shared" si="372"/>
        <v>-5000000000</v>
      </c>
      <c r="K529" s="28">
        <f t="shared" si="372"/>
        <v>-5000000000</v>
      </c>
      <c r="L529" s="28">
        <f t="shared" si="372"/>
        <v>-5000000000</v>
      </c>
      <c r="M529" s="28">
        <f t="shared" si="372"/>
        <v>-5000000000</v>
      </c>
      <c r="N529" s="28">
        <f t="shared" si="372"/>
        <v>-5000000000</v>
      </c>
      <c r="O529" s="28">
        <f t="shared" si="372"/>
        <v>-5000000000</v>
      </c>
      <c r="P529" s="28">
        <f t="shared" si="372"/>
        <v>-5000000000</v>
      </c>
      <c r="Q529" s="28">
        <f t="shared" si="372"/>
        <v>-5000000000</v>
      </c>
      <c r="R529" s="28">
        <f t="shared" si="372"/>
        <v>-5000000000</v>
      </c>
      <c r="S529" s="28">
        <f t="shared" si="372"/>
        <v>-5000000000</v>
      </c>
      <c r="T529" s="28">
        <f t="shared" si="372"/>
        <v>-5000000000</v>
      </c>
      <c r="U529" s="28">
        <f t="shared" si="372"/>
        <v>-5000000000</v>
      </c>
      <c r="V529" s="28">
        <f t="shared" si="372"/>
        <v>-5000000000</v>
      </c>
      <c r="W529" s="28">
        <f t="shared" si="372"/>
        <v>-5000000000</v>
      </c>
      <c r="X529" s="28">
        <f t="shared" si="372"/>
        <v>-5000000000</v>
      </c>
      <c r="Y529" s="28">
        <f t="shared" si="372"/>
        <v>-5000000000</v>
      </c>
      <c r="Z529" s="28">
        <f t="shared" si="372"/>
        <v>-5000000000</v>
      </c>
      <c r="AA529" s="28">
        <f t="shared" si="372"/>
        <v>2500000000</v>
      </c>
      <c r="AB529" s="28">
        <f t="shared" si="372"/>
        <v>2500000000</v>
      </c>
      <c r="AC529" s="28">
        <f t="shared" si="372"/>
        <v>2500000000</v>
      </c>
      <c r="AD529" s="28">
        <f t="shared" si="372"/>
        <v>2500000000</v>
      </c>
      <c r="AE529" s="28">
        <f t="shared" si="372"/>
        <v>2500000000</v>
      </c>
      <c r="AF529" s="28">
        <f t="shared" si="372"/>
        <v>2500000000</v>
      </c>
      <c r="AG529" s="48"/>
    </row>
    <row r="530" spans="1:33" s="47" customFormat="1" x14ac:dyDescent="0.2">
      <c r="A530" s="4" t="s">
        <v>100</v>
      </c>
      <c r="B530" s="236"/>
      <c r="C530" s="79">
        <f t="shared" ref="C530:AF530" si="373">(1/C245)*((EXP(C$241*C527)-1)/(EXP(C$242*C527)-1))</f>
        <v>2.9132458562340775E-2</v>
      </c>
      <c r="D530" s="79">
        <f t="shared" si="373"/>
        <v>2.9132458562340775E-2</v>
      </c>
      <c r="E530" s="79">
        <f t="shared" si="373"/>
        <v>2.9132458562340775E-2</v>
      </c>
      <c r="F530" s="79">
        <f t="shared" si="373"/>
        <v>2.9132458562340775E-2</v>
      </c>
      <c r="G530" s="79">
        <f t="shared" si="373"/>
        <v>2.9132458562340775E-2</v>
      </c>
      <c r="H530" s="79">
        <f t="shared" si="373"/>
        <v>2.9132458562340775E-2</v>
      </c>
      <c r="I530" s="79">
        <f t="shared" si="373"/>
        <v>2.9132458562340775E-2</v>
      </c>
      <c r="J530" s="79">
        <f t="shared" si="373"/>
        <v>2.9132458562340775E-2</v>
      </c>
      <c r="K530" s="79">
        <f t="shared" si="373"/>
        <v>2.9132458562340775E-2</v>
      </c>
      <c r="L530" s="79">
        <f t="shared" si="373"/>
        <v>2.9132458562340775E-2</v>
      </c>
      <c r="M530" s="79">
        <f t="shared" si="373"/>
        <v>2.9132458562340775E-2</v>
      </c>
      <c r="N530" s="79">
        <f t="shared" si="373"/>
        <v>2.9132458562340775E-2</v>
      </c>
      <c r="O530" s="79">
        <f t="shared" si="373"/>
        <v>2.9132458562340775E-2</v>
      </c>
      <c r="P530" s="79">
        <f t="shared" si="373"/>
        <v>2.9132458562340775E-2</v>
      </c>
      <c r="Q530" s="79">
        <f t="shared" si="373"/>
        <v>2.9132458562340775E-2</v>
      </c>
      <c r="R530" s="79">
        <f t="shared" si="373"/>
        <v>2.9132458562340775E-2</v>
      </c>
      <c r="S530" s="79">
        <f t="shared" si="373"/>
        <v>2.9132458562340775E-2</v>
      </c>
      <c r="T530" s="79">
        <f t="shared" si="373"/>
        <v>2.9132458562340775E-2</v>
      </c>
      <c r="U530" s="79">
        <f t="shared" si="373"/>
        <v>2.9132458562340775E-2</v>
      </c>
      <c r="V530" s="79">
        <f t="shared" si="373"/>
        <v>2.9132458562340775E-2</v>
      </c>
      <c r="W530" s="79">
        <f t="shared" si="373"/>
        <v>2.9132458562340775E-2</v>
      </c>
      <c r="X530" s="79">
        <f t="shared" si="373"/>
        <v>2.9132458562340775E-2</v>
      </c>
      <c r="Y530" s="79">
        <f t="shared" si="373"/>
        <v>2.9132458562340775E-2</v>
      </c>
      <c r="Z530" s="79">
        <f t="shared" si="373"/>
        <v>2.9132458562340775E-2</v>
      </c>
      <c r="AA530" s="79">
        <f t="shared" si="373"/>
        <v>0.36003453420443593</v>
      </c>
      <c r="AB530" s="79">
        <f t="shared" si="373"/>
        <v>0.36003453420443593</v>
      </c>
      <c r="AC530" s="79">
        <f t="shared" si="373"/>
        <v>0.36003453420443593</v>
      </c>
      <c r="AD530" s="79">
        <f t="shared" si="373"/>
        <v>0.36003453420443593</v>
      </c>
      <c r="AE530" s="79">
        <f t="shared" si="373"/>
        <v>0.36003453420443593</v>
      </c>
      <c r="AF530" s="79">
        <f t="shared" si="373"/>
        <v>0.36003453420443593</v>
      </c>
      <c r="AG530" s="215"/>
    </row>
    <row r="531" spans="1:33" s="214" customFormat="1" x14ac:dyDescent="0.2">
      <c r="A531" s="4" t="s">
        <v>97</v>
      </c>
      <c r="B531" s="62"/>
      <c r="C531" s="28">
        <f t="shared" ref="C531:AF531" si="374">IF(C$522&gt;C530,C527+((C528-C527)/2),C527-((C527-C529)/2))</f>
        <v>625000000</v>
      </c>
      <c r="D531" s="28">
        <f t="shared" si="374"/>
        <v>-3125000000</v>
      </c>
      <c r="E531" s="28">
        <f t="shared" si="374"/>
        <v>625000000</v>
      </c>
      <c r="F531" s="28">
        <f t="shared" si="374"/>
        <v>625000000</v>
      </c>
      <c r="G531" s="28">
        <f t="shared" si="374"/>
        <v>625000000</v>
      </c>
      <c r="H531" s="28">
        <f t="shared" si="374"/>
        <v>625000000</v>
      </c>
      <c r="I531" s="28">
        <f t="shared" si="374"/>
        <v>625000000</v>
      </c>
      <c r="J531" s="28">
        <f t="shared" si="374"/>
        <v>625000000</v>
      </c>
      <c r="K531" s="28">
        <f t="shared" si="374"/>
        <v>625000000</v>
      </c>
      <c r="L531" s="28">
        <f t="shared" si="374"/>
        <v>625000000</v>
      </c>
      <c r="M531" s="28">
        <f t="shared" si="374"/>
        <v>625000000</v>
      </c>
      <c r="N531" s="28">
        <f t="shared" si="374"/>
        <v>625000000</v>
      </c>
      <c r="O531" s="28">
        <f t="shared" si="374"/>
        <v>625000000</v>
      </c>
      <c r="P531" s="28">
        <f t="shared" si="374"/>
        <v>625000000</v>
      </c>
      <c r="Q531" s="28">
        <f t="shared" si="374"/>
        <v>625000000</v>
      </c>
      <c r="R531" s="28">
        <f t="shared" si="374"/>
        <v>625000000</v>
      </c>
      <c r="S531" s="28">
        <f t="shared" si="374"/>
        <v>625000000</v>
      </c>
      <c r="T531" s="28">
        <f t="shared" si="374"/>
        <v>625000000</v>
      </c>
      <c r="U531" s="28">
        <f t="shared" si="374"/>
        <v>625000000</v>
      </c>
      <c r="V531" s="28">
        <f t="shared" si="374"/>
        <v>625000000</v>
      </c>
      <c r="W531" s="28">
        <f t="shared" si="374"/>
        <v>625000000</v>
      </c>
      <c r="X531" s="28">
        <f t="shared" si="374"/>
        <v>625000000</v>
      </c>
      <c r="Y531" s="28">
        <f t="shared" si="374"/>
        <v>625000000</v>
      </c>
      <c r="Z531" s="28">
        <f t="shared" si="374"/>
        <v>625000000</v>
      </c>
      <c r="AA531" s="28">
        <f t="shared" si="374"/>
        <v>3125000000</v>
      </c>
      <c r="AB531" s="28">
        <f t="shared" si="374"/>
        <v>3125000000</v>
      </c>
      <c r="AC531" s="28">
        <f t="shared" si="374"/>
        <v>3125000000</v>
      </c>
      <c r="AD531" s="28">
        <f t="shared" si="374"/>
        <v>3125000000</v>
      </c>
      <c r="AE531" s="28">
        <f t="shared" si="374"/>
        <v>3125000000</v>
      </c>
      <c r="AF531" s="28">
        <f t="shared" si="374"/>
        <v>3125000000</v>
      </c>
      <c r="AG531" s="48"/>
    </row>
    <row r="532" spans="1:33" s="214" customFormat="1" x14ac:dyDescent="0.2">
      <c r="A532" s="4" t="s">
        <v>98</v>
      </c>
      <c r="B532" s="62"/>
      <c r="C532" s="28">
        <f>IF(C$522&lt;C530,C527,C528)</f>
        <v>2500000000</v>
      </c>
      <c r="D532" s="28">
        <f t="shared" ref="D532:AF532" si="375">IF(D$522&lt;D530,D527,D528)</f>
        <v>-1250000000</v>
      </c>
      <c r="E532" s="28">
        <f t="shared" si="375"/>
        <v>2500000000</v>
      </c>
      <c r="F532" s="28">
        <f t="shared" si="375"/>
        <v>2500000000</v>
      </c>
      <c r="G532" s="28">
        <f t="shared" si="375"/>
        <v>2500000000</v>
      </c>
      <c r="H532" s="28">
        <f t="shared" si="375"/>
        <v>2500000000</v>
      </c>
      <c r="I532" s="28">
        <f t="shared" si="375"/>
        <v>2500000000</v>
      </c>
      <c r="J532" s="28">
        <f t="shared" si="375"/>
        <v>2500000000</v>
      </c>
      <c r="K532" s="28">
        <f t="shared" si="375"/>
        <v>2500000000</v>
      </c>
      <c r="L532" s="28">
        <f t="shared" si="375"/>
        <v>2500000000</v>
      </c>
      <c r="M532" s="28">
        <f t="shared" si="375"/>
        <v>2500000000</v>
      </c>
      <c r="N532" s="28">
        <f t="shared" si="375"/>
        <v>2500000000</v>
      </c>
      <c r="O532" s="28">
        <f t="shared" si="375"/>
        <v>2500000000</v>
      </c>
      <c r="P532" s="28">
        <f t="shared" si="375"/>
        <v>2500000000</v>
      </c>
      <c r="Q532" s="28">
        <f t="shared" si="375"/>
        <v>2500000000</v>
      </c>
      <c r="R532" s="28">
        <f t="shared" si="375"/>
        <v>2500000000</v>
      </c>
      <c r="S532" s="28">
        <f t="shared" si="375"/>
        <v>2500000000</v>
      </c>
      <c r="T532" s="28">
        <f t="shared" si="375"/>
        <v>2500000000</v>
      </c>
      <c r="U532" s="28">
        <f t="shared" si="375"/>
        <v>2500000000</v>
      </c>
      <c r="V532" s="28">
        <f t="shared" si="375"/>
        <v>2500000000</v>
      </c>
      <c r="W532" s="28">
        <f t="shared" si="375"/>
        <v>2500000000</v>
      </c>
      <c r="X532" s="28">
        <f t="shared" si="375"/>
        <v>2500000000</v>
      </c>
      <c r="Y532" s="28">
        <f t="shared" si="375"/>
        <v>2500000000</v>
      </c>
      <c r="Z532" s="28">
        <f t="shared" si="375"/>
        <v>2500000000</v>
      </c>
      <c r="AA532" s="28">
        <f t="shared" si="375"/>
        <v>3750000000</v>
      </c>
      <c r="AB532" s="28">
        <f t="shared" si="375"/>
        <v>3750000000</v>
      </c>
      <c r="AC532" s="28">
        <f t="shared" si="375"/>
        <v>3750000000</v>
      </c>
      <c r="AD532" s="28">
        <f t="shared" si="375"/>
        <v>3750000000</v>
      </c>
      <c r="AE532" s="28">
        <f t="shared" si="375"/>
        <v>3750000000</v>
      </c>
      <c r="AF532" s="28">
        <f t="shared" si="375"/>
        <v>3750000000</v>
      </c>
      <c r="AG532" s="48"/>
    </row>
    <row r="533" spans="1:33" s="214" customFormat="1" x14ac:dyDescent="0.2">
      <c r="A533" s="4" t="s">
        <v>99</v>
      </c>
      <c r="B533" s="62"/>
      <c r="C533" s="28">
        <f>IF(C$522&gt;C530,C527,C529)</f>
        <v>-1250000000</v>
      </c>
      <c r="D533" s="28">
        <f t="shared" ref="D533:AF533" si="376">IF(D$522&gt;D530,D527,D529)</f>
        <v>-5000000000</v>
      </c>
      <c r="E533" s="28">
        <f t="shared" si="376"/>
        <v>-1250000000</v>
      </c>
      <c r="F533" s="28">
        <f t="shared" si="376"/>
        <v>-1250000000</v>
      </c>
      <c r="G533" s="28">
        <f t="shared" si="376"/>
        <v>-1250000000</v>
      </c>
      <c r="H533" s="28">
        <f t="shared" si="376"/>
        <v>-1250000000</v>
      </c>
      <c r="I533" s="28">
        <f t="shared" si="376"/>
        <v>-1250000000</v>
      </c>
      <c r="J533" s="28">
        <f t="shared" si="376"/>
        <v>-1250000000</v>
      </c>
      <c r="K533" s="28">
        <f t="shared" si="376"/>
        <v>-1250000000</v>
      </c>
      <c r="L533" s="28">
        <f t="shared" si="376"/>
        <v>-1250000000</v>
      </c>
      <c r="M533" s="28">
        <f t="shared" si="376"/>
        <v>-1250000000</v>
      </c>
      <c r="N533" s="28">
        <f t="shared" si="376"/>
        <v>-1250000000</v>
      </c>
      <c r="O533" s="28">
        <f t="shared" si="376"/>
        <v>-1250000000</v>
      </c>
      <c r="P533" s="28">
        <f t="shared" si="376"/>
        <v>-1250000000</v>
      </c>
      <c r="Q533" s="28">
        <f t="shared" si="376"/>
        <v>-1250000000</v>
      </c>
      <c r="R533" s="28">
        <f t="shared" si="376"/>
        <v>-1250000000</v>
      </c>
      <c r="S533" s="28">
        <f t="shared" si="376"/>
        <v>-1250000000</v>
      </c>
      <c r="T533" s="28">
        <f t="shared" si="376"/>
        <v>-1250000000</v>
      </c>
      <c r="U533" s="28">
        <f t="shared" si="376"/>
        <v>-1250000000</v>
      </c>
      <c r="V533" s="28">
        <f t="shared" si="376"/>
        <v>-1250000000</v>
      </c>
      <c r="W533" s="28">
        <f t="shared" si="376"/>
        <v>-1250000000</v>
      </c>
      <c r="X533" s="28">
        <f t="shared" si="376"/>
        <v>-1250000000</v>
      </c>
      <c r="Y533" s="28">
        <f t="shared" si="376"/>
        <v>-1250000000</v>
      </c>
      <c r="Z533" s="28">
        <f t="shared" si="376"/>
        <v>-1250000000</v>
      </c>
      <c r="AA533" s="28">
        <f t="shared" si="376"/>
        <v>2500000000</v>
      </c>
      <c r="AB533" s="28">
        <f t="shared" si="376"/>
        <v>2500000000</v>
      </c>
      <c r="AC533" s="28">
        <f t="shared" si="376"/>
        <v>2500000000</v>
      </c>
      <c r="AD533" s="28">
        <f t="shared" si="376"/>
        <v>2500000000</v>
      </c>
      <c r="AE533" s="28">
        <f t="shared" si="376"/>
        <v>2500000000</v>
      </c>
      <c r="AF533" s="28">
        <f t="shared" si="376"/>
        <v>2500000000</v>
      </c>
      <c r="AG533" s="48"/>
    </row>
    <row r="534" spans="1:33" s="47" customFormat="1" x14ac:dyDescent="0.2">
      <c r="A534" s="4" t="s">
        <v>100</v>
      </c>
      <c r="B534" s="236"/>
      <c r="C534" s="79">
        <f t="shared" ref="C534:AF534" si="377">(1/C245)*((EXP(C$241*C531)-1)/(EXP(C$242*C531)-1))</f>
        <v>6.0598136209060426E-2</v>
      </c>
      <c r="D534" s="79">
        <f t="shared" si="377"/>
        <v>1.8009685367233713E-2</v>
      </c>
      <c r="E534" s="79">
        <f t="shared" si="377"/>
        <v>6.0598136209060426E-2</v>
      </c>
      <c r="F534" s="79">
        <f t="shared" si="377"/>
        <v>6.0598136209060426E-2</v>
      </c>
      <c r="G534" s="79">
        <f t="shared" si="377"/>
        <v>6.0598136209060426E-2</v>
      </c>
      <c r="H534" s="79">
        <f t="shared" si="377"/>
        <v>6.0598136209060426E-2</v>
      </c>
      <c r="I534" s="79">
        <f t="shared" si="377"/>
        <v>6.0598136209060426E-2</v>
      </c>
      <c r="J534" s="79">
        <f t="shared" si="377"/>
        <v>6.0598136209060426E-2</v>
      </c>
      <c r="K534" s="79">
        <f t="shared" si="377"/>
        <v>6.0598136209060426E-2</v>
      </c>
      <c r="L534" s="79">
        <f t="shared" si="377"/>
        <v>6.0598136209060426E-2</v>
      </c>
      <c r="M534" s="79">
        <f t="shared" si="377"/>
        <v>6.0598136209060426E-2</v>
      </c>
      <c r="N534" s="79">
        <f t="shared" si="377"/>
        <v>6.0598136209060426E-2</v>
      </c>
      <c r="O534" s="79">
        <f t="shared" si="377"/>
        <v>6.0598136209060426E-2</v>
      </c>
      <c r="P534" s="79">
        <f t="shared" si="377"/>
        <v>6.0598136209060426E-2</v>
      </c>
      <c r="Q534" s="79">
        <f t="shared" si="377"/>
        <v>6.0598136209060426E-2</v>
      </c>
      <c r="R534" s="79">
        <f t="shared" si="377"/>
        <v>6.0598136209060426E-2</v>
      </c>
      <c r="S534" s="79">
        <f t="shared" si="377"/>
        <v>6.0598136209060426E-2</v>
      </c>
      <c r="T534" s="79">
        <f t="shared" si="377"/>
        <v>6.0598136209060426E-2</v>
      </c>
      <c r="U534" s="79">
        <f t="shared" si="377"/>
        <v>6.0598136209060426E-2</v>
      </c>
      <c r="V534" s="79">
        <f t="shared" si="377"/>
        <v>6.0598136209060426E-2</v>
      </c>
      <c r="W534" s="79">
        <f t="shared" si="377"/>
        <v>6.0598136209060426E-2</v>
      </c>
      <c r="X534" s="79">
        <f t="shared" si="377"/>
        <v>6.0598136209060426E-2</v>
      </c>
      <c r="Y534" s="79">
        <f t="shared" si="377"/>
        <v>6.0598136209060426E-2</v>
      </c>
      <c r="Z534" s="79">
        <f t="shared" si="377"/>
        <v>6.0598136209060426E-2</v>
      </c>
      <c r="AA534" s="79">
        <f t="shared" si="377"/>
        <v>0.24075993438401602</v>
      </c>
      <c r="AB534" s="79">
        <f t="shared" si="377"/>
        <v>0.24075993438401602</v>
      </c>
      <c r="AC534" s="79">
        <f t="shared" si="377"/>
        <v>0.24075993438401602</v>
      </c>
      <c r="AD534" s="79">
        <f t="shared" si="377"/>
        <v>0.24075993438401602</v>
      </c>
      <c r="AE534" s="79">
        <f t="shared" si="377"/>
        <v>0.24075993438401602</v>
      </c>
      <c r="AF534" s="79">
        <f t="shared" si="377"/>
        <v>0.24075993438401602</v>
      </c>
      <c r="AG534" s="215"/>
    </row>
    <row r="535" spans="1:33" s="214" customFormat="1" x14ac:dyDescent="0.2">
      <c r="A535" s="4" t="s">
        <v>97</v>
      </c>
      <c r="B535" s="62"/>
      <c r="C535" s="28">
        <f t="shared" ref="C535:AF535" si="378">IF(C$522&gt;C534,C531+((C532-C531)/2),C531-((C531-C533)/2))</f>
        <v>-312500000</v>
      </c>
      <c r="D535" s="28">
        <f t="shared" si="378"/>
        <v>-4062500000</v>
      </c>
      <c r="E535" s="28">
        <f t="shared" si="378"/>
        <v>-312500000</v>
      </c>
      <c r="F535" s="28">
        <f t="shared" si="378"/>
        <v>-312500000</v>
      </c>
      <c r="G535" s="28">
        <f t="shared" si="378"/>
        <v>-312500000</v>
      </c>
      <c r="H535" s="28">
        <f t="shared" si="378"/>
        <v>-312500000</v>
      </c>
      <c r="I535" s="28">
        <f t="shared" si="378"/>
        <v>-312500000</v>
      </c>
      <c r="J535" s="28">
        <f t="shared" si="378"/>
        <v>-312500000</v>
      </c>
      <c r="K535" s="28">
        <f t="shared" si="378"/>
        <v>-312500000</v>
      </c>
      <c r="L535" s="28">
        <f t="shared" si="378"/>
        <v>-312500000</v>
      </c>
      <c r="M535" s="28">
        <f t="shared" si="378"/>
        <v>-312500000</v>
      </c>
      <c r="N535" s="28">
        <f t="shared" si="378"/>
        <v>-312500000</v>
      </c>
      <c r="O535" s="28">
        <f t="shared" si="378"/>
        <v>-312500000</v>
      </c>
      <c r="P535" s="28">
        <f t="shared" si="378"/>
        <v>-312500000</v>
      </c>
      <c r="Q535" s="28">
        <f t="shared" si="378"/>
        <v>-312500000</v>
      </c>
      <c r="R535" s="28">
        <f t="shared" si="378"/>
        <v>-312500000</v>
      </c>
      <c r="S535" s="28">
        <f t="shared" si="378"/>
        <v>-312500000</v>
      </c>
      <c r="T535" s="28">
        <f t="shared" si="378"/>
        <v>-312500000</v>
      </c>
      <c r="U535" s="28">
        <f t="shared" si="378"/>
        <v>-312500000</v>
      </c>
      <c r="V535" s="28">
        <f t="shared" si="378"/>
        <v>-312500000</v>
      </c>
      <c r="W535" s="28">
        <f t="shared" si="378"/>
        <v>-312500000</v>
      </c>
      <c r="X535" s="28">
        <f t="shared" si="378"/>
        <v>-312500000</v>
      </c>
      <c r="Y535" s="28">
        <f t="shared" si="378"/>
        <v>-312500000</v>
      </c>
      <c r="Z535" s="28">
        <f t="shared" si="378"/>
        <v>-312500000</v>
      </c>
      <c r="AA535" s="28">
        <f t="shared" si="378"/>
        <v>2812500000</v>
      </c>
      <c r="AB535" s="28">
        <f t="shared" si="378"/>
        <v>2812500000</v>
      </c>
      <c r="AC535" s="28">
        <f t="shared" si="378"/>
        <v>2812500000</v>
      </c>
      <c r="AD535" s="28">
        <f t="shared" si="378"/>
        <v>2812500000</v>
      </c>
      <c r="AE535" s="28">
        <f t="shared" si="378"/>
        <v>2812500000</v>
      </c>
      <c r="AF535" s="28">
        <f t="shared" si="378"/>
        <v>2812500000</v>
      </c>
      <c r="AG535" s="48"/>
    </row>
    <row r="536" spans="1:33" s="214" customFormat="1" x14ac:dyDescent="0.2">
      <c r="A536" s="4" t="s">
        <v>98</v>
      </c>
      <c r="B536" s="62"/>
      <c r="C536" s="28">
        <f>IF(C$522&lt;C534,C531,C532)</f>
        <v>625000000</v>
      </c>
      <c r="D536" s="28">
        <f t="shared" ref="D536:AF536" si="379">IF(D$522&lt;D534,D531,D532)</f>
        <v>-3125000000</v>
      </c>
      <c r="E536" s="28">
        <f t="shared" si="379"/>
        <v>625000000</v>
      </c>
      <c r="F536" s="28">
        <f t="shared" si="379"/>
        <v>625000000</v>
      </c>
      <c r="G536" s="28">
        <f t="shared" si="379"/>
        <v>625000000</v>
      </c>
      <c r="H536" s="28">
        <f t="shared" si="379"/>
        <v>625000000</v>
      </c>
      <c r="I536" s="28">
        <f t="shared" si="379"/>
        <v>625000000</v>
      </c>
      <c r="J536" s="28">
        <f t="shared" si="379"/>
        <v>625000000</v>
      </c>
      <c r="K536" s="28">
        <f t="shared" si="379"/>
        <v>625000000</v>
      </c>
      <c r="L536" s="28">
        <f t="shared" si="379"/>
        <v>625000000</v>
      </c>
      <c r="M536" s="28">
        <f t="shared" si="379"/>
        <v>625000000</v>
      </c>
      <c r="N536" s="28">
        <f t="shared" si="379"/>
        <v>625000000</v>
      </c>
      <c r="O536" s="28">
        <f t="shared" si="379"/>
        <v>625000000</v>
      </c>
      <c r="P536" s="28">
        <f t="shared" si="379"/>
        <v>625000000</v>
      </c>
      <c r="Q536" s="28">
        <f t="shared" si="379"/>
        <v>625000000</v>
      </c>
      <c r="R536" s="28">
        <f t="shared" si="379"/>
        <v>625000000</v>
      </c>
      <c r="S536" s="28">
        <f t="shared" si="379"/>
        <v>625000000</v>
      </c>
      <c r="T536" s="28">
        <f t="shared" si="379"/>
        <v>625000000</v>
      </c>
      <c r="U536" s="28">
        <f t="shared" si="379"/>
        <v>625000000</v>
      </c>
      <c r="V536" s="28">
        <f t="shared" si="379"/>
        <v>625000000</v>
      </c>
      <c r="W536" s="28">
        <f t="shared" si="379"/>
        <v>625000000</v>
      </c>
      <c r="X536" s="28">
        <f t="shared" si="379"/>
        <v>625000000</v>
      </c>
      <c r="Y536" s="28">
        <f t="shared" si="379"/>
        <v>625000000</v>
      </c>
      <c r="Z536" s="28">
        <f t="shared" si="379"/>
        <v>625000000</v>
      </c>
      <c r="AA536" s="28">
        <f t="shared" si="379"/>
        <v>3125000000</v>
      </c>
      <c r="AB536" s="28">
        <f t="shared" si="379"/>
        <v>3125000000</v>
      </c>
      <c r="AC536" s="28">
        <f t="shared" si="379"/>
        <v>3125000000</v>
      </c>
      <c r="AD536" s="28">
        <f t="shared" si="379"/>
        <v>3125000000</v>
      </c>
      <c r="AE536" s="28">
        <f t="shared" si="379"/>
        <v>3125000000</v>
      </c>
      <c r="AF536" s="28">
        <f t="shared" si="379"/>
        <v>3125000000</v>
      </c>
      <c r="AG536" s="48"/>
    </row>
    <row r="537" spans="1:33" s="214" customFormat="1" x14ac:dyDescent="0.2">
      <c r="A537" s="4" t="s">
        <v>99</v>
      </c>
      <c r="B537" s="62"/>
      <c r="C537" s="28">
        <f>IF(C$522&gt;C534,C531,C533)</f>
        <v>-1250000000</v>
      </c>
      <c r="D537" s="28">
        <f t="shared" ref="D537:AF537" si="380">IF(D$522&gt;D534,D531,D533)</f>
        <v>-5000000000</v>
      </c>
      <c r="E537" s="28">
        <f t="shared" si="380"/>
        <v>-1250000000</v>
      </c>
      <c r="F537" s="28">
        <f t="shared" si="380"/>
        <v>-1250000000</v>
      </c>
      <c r="G537" s="28">
        <f t="shared" si="380"/>
        <v>-1250000000</v>
      </c>
      <c r="H537" s="28">
        <f t="shared" si="380"/>
        <v>-1250000000</v>
      </c>
      <c r="I537" s="28">
        <f t="shared" si="380"/>
        <v>-1250000000</v>
      </c>
      <c r="J537" s="28">
        <f t="shared" si="380"/>
        <v>-1250000000</v>
      </c>
      <c r="K537" s="28">
        <f t="shared" si="380"/>
        <v>-1250000000</v>
      </c>
      <c r="L537" s="28">
        <f t="shared" si="380"/>
        <v>-1250000000</v>
      </c>
      <c r="M537" s="28">
        <f t="shared" si="380"/>
        <v>-1250000000</v>
      </c>
      <c r="N537" s="28">
        <f t="shared" si="380"/>
        <v>-1250000000</v>
      </c>
      <c r="O537" s="28">
        <f t="shared" si="380"/>
        <v>-1250000000</v>
      </c>
      <c r="P537" s="28">
        <f t="shared" si="380"/>
        <v>-1250000000</v>
      </c>
      <c r="Q537" s="28">
        <f t="shared" si="380"/>
        <v>-1250000000</v>
      </c>
      <c r="R537" s="28">
        <f t="shared" si="380"/>
        <v>-1250000000</v>
      </c>
      <c r="S537" s="28">
        <f t="shared" si="380"/>
        <v>-1250000000</v>
      </c>
      <c r="T537" s="28">
        <f t="shared" si="380"/>
        <v>-1250000000</v>
      </c>
      <c r="U537" s="28">
        <f t="shared" si="380"/>
        <v>-1250000000</v>
      </c>
      <c r="V537" s="28">
        <f t="shared" si="380"/>
        <v>-1250000000</v>
      </c>
      <c r="W537" s="28">
        <f t="shared" si="380"/>
        <v>-1250000000</v>
      </c>
      <c r="X537" s="28">
        <f t="shared" si="380"/>
        <v>-1250000000</v>
      </c>
      <c r="Y537" s="28">
        <f t="shared" si="380"/>
        <v>-1250000000</v>
      </c>
      <c r="Z537" s="28">
        <f t="shared" si="380"/>
        <v>-1250000000</v>
      </c>
      <c r="AA537" s="28">
        <f t="shared" si="380"/>
        <v>2500000000</v>
      </c>
      <c r="AB537" s="28">
        <f t="shared" si="380"/>
        <v>2500000000</v>
      </c>
      <c r="AC537" s="28">
        <f t="shared" si="380"/>
        <v>2500000000</v>
      </c>
      <c r="AD537" s="28">
        <f t="shared" si="380"/>
        <v>2500000000</v>
      </c>
      <c r="AE537" s="28">
        <f t="shared" si="380"/>
        <v>2500000000</v>
      </c>
      <c r="AF537" s="28">
        <f t="shared" si="380"/>
        <v>2500000000</v>
      </c>
      <c r="AG537" s="48"/>
    </row>
    <row r="538" spans="1:33" s="47" customFormat="1" x14ac:dyDescent="0.2">
      <c r="A538" s="4" t="s">
        <v>100</v>
      </c>
      <c r="B538" s="236"/>
      <c r="C538" s="79">
        <f t="shared" ref="C538:AF538" si="381">(1/C245)*((EXP(C$241*C535)-1)/(EXP(C$242*C535)-1))</f>
        <v>4.0602544492226937E-2</v>
      </c>
      <c r="D538" s="79">
        <f t="shared" si="381"/>
        <v>1.522948994484908E-2</v>
      </c>
      <c r="E538" s="79">
        <f t="shared" si="381"/>
        <v>4.0602544492226937E-2</v>
      </c>
      <c r="F538" s="79">
        <f t="shared" si="381"/>
        <v>4.0602544492226937E-2</v>
      </c>
      <c r="G538" s="79">
        <f t="shared" si="381"/>
        <v>4.0602544492226937E-2</v>
      </c>
      <c r="H538" s="79">
        <f t="shared" si="381"/>
        <v>4.0602544492226937E-2</v>
      </c>
      <c r="I538" s="79">
        <f t="shared" si="381"/>
        <v>4.0602544492226937E-2</v>
      </c>
      <c r="J538" s="79">
        <f t="shared" si="381"/>
        <v>4.0602544492226937E-2</v>
      </c>
      <c r="K538" s="79">
        <f t="shared" si="381"/>
        <v>4.0602544492226937E-2</v>
      </c>
      <c r="L538" s="79">
        <f t="shared" si="381"/>
        <v>4.0602544492226937E-2</v>
      </c>
      <c r="M538" s="79">
        <f t="shared" si="381"/>
        <v>4.0602544492226937E-2</v>
      </c>
      <c r="N538" s="79">
        <f t="shared" si="381"/>
        <v>4.0602544492226937E-2</v>
      </c>
      <c r="O538" s="79">
        <f t="shared" si="381"/>
        <v>4.0602544492226937E-2</v>
      </c>
      <c r="P538" s="79">
        <f t="shared" si="381"/>
        <v>4.0602544492226937E-2</v>
      </c>
      <c r="Q538" s="79">
        <f t="shared" si="381"/>
        <v>4.0602544492226937E-2</v>
      </c>
      <c r="R538" s="79">
        <f t="shared" si="381"/>
        <v>4.0602544492226937E-2</v>
      </c>
      <c r="S538" s="79">
        <f t="shared" si="381"/>
        <v>4.0602544492226937E-2</v>
      </c>
      <c r="T538" s="79">
        <f t="shared" si="381"/>
        <v>4.0602544492226937E-2</v>
      </c>
      <c r="U538" s="79">
        <f t="shared" si="381"/>
        <v>4.0602544492226937E-2</v>
      </c>
      <c r="V538" s="79">
        <f t="shared" si="381"/>
        <v>4.0602544492226937E-2</v>
      </c>
      <c r="W538" s="79">
        <f t="shared" si="381"/>
        <v>4.0602544492226937E-2</v>
      </c>
      <c r="X538" s="79">
        <f t="shared" si="381"/>
        <v>4.0602544492226937E-2</v>
      </c>
      <c r="Y538" s="79">
        <f t="shared" si="381"/>
        <v>4.0602544492226937E-2</v>
      </c>
      <c r="Z538" s="79">
        <f t="shared" si="381"/>
        <v>4.0602544492226937E-2</v>
      </c>
      <c r="AA538" s="79">
        <f t="shared" si="381"/>
        <v>0.19832966396632604</v>
      </c>
      <c r="AB538" s="79">
        <f t="shared" si="381"/>
        <v>0.19832966396632604</v>
      </c>
      <c r="AC538" s="79">
        <f t="shared" si="381"/>
        <v>0.19832966396632604</v>
      </c>
      <c r="AD538" s="79">
        <f t="shared" si="381"/>
        <v>0.19832966396632604</v>
      </c>
      <c r="AE538" s="79">
        <f t="shared" si="381"/>
        <v>0.19832966396632604</v>
      </c>
      <c r="AF538" s="79">
        <f t="shared" si="381"/>
        <v>0.19832966396632604</v>
      </c>
      <c r="AG538" s="215"/>
    </row>
    <row r="539" spans="1:33" s="214" customFormat="1" x14ac:dyDescent="0.2">
      <c r="A539" s="4" t="s">
        <v>97</v>
      </c>
      <c r="B539" s="62"/>
      <c r="C539" s="28">
        <f t="shared" ref="C539:AF539" si="382">IF(C$522&gt;C538,C535+((C536-C535)/2),C535-((C535-C537)/2))</f>
        <v>156250000</v>
      </c>
      <c r="D539" s="28">
        <f t="shared" si="382"/>
        <v>-3593750000</v>
      </c>
      <c r="E539" s="28">
        <f t="shared" si="382"/>
        <v>156250000</v>
      </c>
      <c r="F539" s="28">
        <f t="shared" si="382"/>
        <v>156250000</v>
      </c>
      <c r="G539" s="28">
        <f t="shared" si="382"/>
        <v>-781250000</v>
      </c>
      <c r="H539" s="28">
        <f t="shared" si="382"/>
        <v>156250000</v>
      </c>
      <c r="I539" s="28">
        <f t="shared" si="382"/>
        <v>156250000</v>
      </c>
      <c r="J539" s="28">
        <f t="shared" si="382"/>
        <v>156250000</v>
      </c>
      <c r="K539" s="28">
        <f t="shared" si="382"/>
        <v>156250000</v>
      </c>
      <c r="L539" s="28">
        <f t="shared" si="382"/>
        <v>156250000</v>
      </c>
      <c r="M539" s="28">
        <f t="shared" si="382"/>
        <v>156250000</v>
      </c>
      <c r="N539" s="28">
        <f t="shared" si="382"/>
        <v>156250000</v>
      </c>
      <c r="O539" s="28">
        <f t="shared" si="382"/>
        <v>156250000</v>
      </c>
      <c r="P539" s="28">
        <f t="shared" si="382"/>
        <v>156250000</v>
      </c>
      <c r="Q539" s="28">
        <f t="shared" si="382"/>
        <v>156250000</v>
      </c>
      <c r="R539" s="28">
        <f t="shared" si="382"/>
        <v>156250000</v>
      </c>
      <c r="S539" s="28">
        <f t="shared" si="382"/>
        <v>156250000</v>
      </c>
      <c r="T539" s="28">
        <f t="shared" si="382"/>
        <v>156250000</v>
      </c>
      <c r="U539" s="28">
        <f t="shared" si="382"/>
        <v>156250000</v>
      </c>
      <c r="V539" s="28">
        <f t="shared" si="382"/>
        <v>156250000</v>
      </c>
      <c r="W539" s="28">
        <f t="shared" si="382"/>
        <v>156250000</v>
      </c>
      <c r="X539" s="28">
        <f t="shared" si="382"/>
        <v>156250000</v>
      </c>
      <c r="Y539" s="28">
        <f t="shared" si="382"/>
        <v>156250000</v>
      </c>
      <c r="Z539" s="28">
        <f t="shared" si="382"/>
        <v>156250000</v>
      </c>
      <c r="AA539" s="28">
        <f t="shared" si="382"/>
        <v>2656250000</v>
      </c>
      <c r="AB539" s="28">
        <f t="shared" si="382"/>
        <v>2656250000</v>
      </c>
      <c r="AC539" s="28">
        <f t="shared" si="382"/>
        <v>2656250000</v>
      </c>
      <c r="AD539" s="28">
        <f t="shared" si="382"/>
        <v>2656250000</v>
      </c>
      <c r="AE539" s="28">
        <f t="shared" si="382"/>
        <v>2656250000</v>
      </c>
      <c r="AF539" s="28">
        <f t="shared" si="382"/>
        <v>2656250000</v>
      </c>
      <c r="AG539" s="48"/>
    </row>
    <row r="540" spans="1:33" s="214" customFormat="1" x14ac:dyDescent="0.2">
      <c r="A540" s="4" t="s">
        <v>98</v>
      </c>
      <c r="B540" s="62"/>
      <c r="C540" s="28">
        <f>IF(C$522&lt;C538,C535,C536)</f>
        <v>625000000</v>
      </c>
      <c r="D540" s="28">
        <f t="shared" ref="D540:AF540" si="383">IF(D$522&lt;D538,D535,D536)</f>
        <v>-3125000000</v>
      </c>
      <c r="E540" s="28">
        <f t="shared" si="383"/>
        <v>625000000</v>
      </c>
      <c r="F540" s="28">
        <f t="shared" si="383"/>
        <v>625000000</v>
      </c>
      <c r="G540" s="28">
        <f t="shared" si="383"/>
        <v>-312500000</v>
      </c>
      <c r="H540" s="28">
        <f t="shared" si="383"/>
        <v>625000000</v>
      </c>
      <c r="I540" s="28">
        <f t="shared" si="383"/>
        <v>625000000</v>
      </c>
      <c r="J540" s="28">
        <f t="shared" si="383"/>
        <v>625000000</v>
      </c>
      <c r="K540" s="28">
        <f t="shared" si="383"/>
        <v>625000000</v>
      </c>
      <c r="L540" s="28">
        <f t="shared" si="383"/>
        <v>625000000</v>
      </c>
      <c r="M540" s="28">
        <f t="shared" si="383"/>
        <v>625000000</v>
      </c>
      <c r="N540" s="28">
        <f t="shared" si="383"/>
        <v>625000000</v>
      </c>
      <c r="O540" s="28">
        <f t="shared" si="383"/>
        <v>625000000</v>
      </c>
      <c r="P540" s="28">
        <f t="shared" si="383"/>
        <v>625000000</v>
      </c>
      <c r="Q540" s="28">
        <f t="shared" si="383"/>
        <v>625000000</v>
      </c>
      <c r="R540" s="28">
        <f t="shared" si="383"/>
        <v>625000000</v>
      </c>
      <c r="S540" s="28">
        <f t="shared" si="383"/>
        <v>625000000</v>
      </c>
      <c r="T540" s="28">
        <f t="shared" si="383"/>
        <v>625000000</v>
      </c>
      <c r="U540" s="28">
        <f t="shared" si="383"/>
        <v>625000000</v>
      </c>
      <c r="V540" s="28">
        <f t="shared" si="383"/>
        <v>625000000</v>
      </c>
      <c r="W540" s="28">
        <f t="shared" si="383"/>
        <v>625000000</v>
      </c>
      <c r="X540" s="28">
        <f t="shared" si="383"/>
        <v>625000000</v>
      </c>
      <c r="Y540" s="28">
        <f t="shared" si="383"/>
        <v>625000000</v>
      </c>
      <c r="Z540" s="28">
        <f t="shared" si="383"/>
        <v>625000000</v>
      </c>
      <c r="AA540" s="28">
        <f t="shared" si="383"/>
        <v>2812500000</v>
      </c>
      <c r="AB540" s="28">
        <f t="shared" si="383"/>
        <v>2812500000</v>
      </c>
      <c r="AC540" s="28">
        <f t="shared" si="383"/>
        <v>2812500000</v>
      </c>
      <c r="AD540" s="28">
        <f t="shared" si="383"/>
        <v>2812500000</v>
      </c>
      <c r="AE540" s="28">
        <f t="shared" si="383"/>
        <v>2812500000</v>
      </c>
      <c r="AF540" s="28">
        <f t="shared" si="383"/>
        <v>2812500000</v>
      </c>
      <c r="AG540" s="48"/>
    </row>
    <row r="541" spans="1:33" s="214" customFormat="1" x14ac:dyDescent="0.2">
      <c r="A541" s="4" t="s">
        <v>99</v>
      </c>
      <c r="B541" s="62"/>
      <c r="C541" s="28">
        <f>IF(C$522&gt;C538,C535,C537)</f>
        <v>-312500000</v>
      </c>
      <c r="D541" s="28">
        <f t="shared" ref="D541:AF541" si="384">IF(D$522&gt;D538,D535,D537)</f>
        <v>-4062500000</v>
      </c>
      <c r="E541" s="28">
        <f t="shared" si="384"/>
        <v>-312500000</v>
      </c>
      <c r="F541" s="28">
        <f t="shared" si="384"/>
        <v>-312500000</v>
      </c>
      <c r="G541" s="28">
        <f t="shared" si="384"/>
        <v>-1250000000</v>
      </c>
      <c r="H541" s="28">
        <f t="shared" si="384"/>
        <v>-312500000</v>
      </c>
      <c r="I541" s="28">
        <f t="shared" si="384"/>
        <v>-312500000</v>
      </c>
      <c r="J541" s="28">
        <f t="shared" si="384"/>
        <v>-312500000</v>
      </c>
      <c r="K541" s="28">
        <f t="shared" si="384"/>
        <v>-312500000</v>
      </c>
      <c r="L541" s="28">
        <f t="shared" si="384"/>
        <v>-312500000</v>
      </c>
      <c r="M541" s="28">
        <f t="shared" si="384"/>
        <v>-312500000</v>
      </c>
      <c r="N541" s="28">
        <f t="shared" si="384"/>
        <v>-312500000</v>
      </c>
      <c r="O541" s="28">
        <f t="shared" si="384"/>
        <v>-312500000</v>
      </c>
      <c r="P541" s="28">
        <f t="shared" si="384"/>
        <v>-312500000</v>
      </c>
      <c r="Q541" s="28">
        <f t="shared" si="384"/>
        <v>-312500000</v>
      </c>
      <c r="R541" s="28">
        <f t="shared" si="384"/>
        <v>-312500000</v>
      </c>
      <c r="S541" s="28">
        <f t="shared" si="384"/>
        <v>-312500000</v>
      </c>
      <c r="T541" s="28">
        <f t="shared" si="384"/>
        <v>-312500000</v>
      </c>
      <c r="U541" s="28">
        <f t="shared" si="384"/>
        <v>-312500000</v>
      </c>
      <c r="V541" s="28">
        <f t="shared" si="384"/>
        <v>-312500000</v>
      </c>
      <c r="W541" s="28">
        <f t="shared" si="384"/>
        <v>-312500000</v>
      </c>
      <c r="X541" s="28">
        <f t="shared" si="384"/>
        <v>-312500000</v>
      </c>
      <c r="Y541" s="28">
        <f t="shared" si="384"/>
        <v>-312500000</v>
      </c>
      <c r="Z541" s="28">
        <f t="shared" si="384"/>
        <v>-312500000</v>
      </c>
      <c r="AA541" s="28">
        <f t="shared" si="384"/>
        <v>2500000000</v>
      </c>
      <c r="AB541" s="28">
        <f t="shared" si="384"/>
        <v>2500000000</v>
      </c>
      <c r="AC541" s="28">
        <f t="shared" si="384"/>
        <v>2500000000</v>
      </c>
      <c r="AD541" s="28">
        <f t="shared" si="384"/>
        <v>2500000000</v>
      </c>
      <c r="AE541" s="28">
        <f t="shared" si="384"/>
        <v>2500000000</v>
      </c>
      <c r="AF541" s="28">
        <f t="shared" si="384"/>
        <v>2500000000</v>
      </c>
      <c r="AG541" s="48"/>
    </row>
    <row r="542" spans="1:33" s="47" customFormat="1" x14ac:dyDescent="0.2">
      <c r="A542" s="4" t="s">
        <v>100</v>
      </c>
      <c r="B542" s="236"/>
      <c r="C542" s="79">
        <f t="shared" ref="C542:AF542" si="385">(1/C245)*((EXP(C$241*C539)-1)/(EXP(C$242*C539)-1))</f>
        <v>4.9176403000798494E-2</v>
      </c>
      <c r="D542" s="79">
        <f t="shared" si="385"/>
        <v>1.6478562302917502E-2</v>
      </c>
      <c r="E542" s="79">
        <f t="shared" si="385"/>
        <v>4.9176403000798494E-2</v>
      </c>
      <c r="F542" s="79">
        <f t="shared" si="385"/>
        <v>4.9176403000798494E-2</v>
      </c>
      <c r="G542" s="79">
        <f t="shared" si="385"/>
        <v>3.4105287770724177E-2</v>
      </c>
      <c r="H542" s="79">
        <f t="shared" si="385"/>
        <v>4.9176403000798494E-2</v>
      </c>
      <c r="I542" s="79">
        <f t="shared" si="385"/>
        <v>4.9176403000798494E-2</v>
      </c>
      <c r="J542" s="79">
        <f t="shared" si="385"/>
        <v>4.9176403000798494E-2</v>
      </c>
      <c r="K542" s="79">
        <f t="shared" si="385"/>
        <v>4.9176403000798494E-2</v>
      </c>
      <c r="L542" s="79">
        <f t="shared" si="385"/>
        <v>4.9176403000798494E-2</v>
      </c>
      <c r="M542" s="79">
        <f t="shared" si="385"/>
        <v>4.9176403000798494E-2</v>
      </c>
      <c r="N542" s="79">
        <f t="shared" si="385"/>
        <v>4.9176403000798494E-2</v>
      </c>
      <c r="O542" s="79">
        <f t="shared" si="385"/>
        <v>4.9176403000798494E-2</v>
      </c>
      <c r="P542" s="79">
        <f t="shared" si="385"/>
        <v>4.9176403000798494E-2</v>
      </c>
      <c r="Q542" s="79">
        <f t="shared" si="385"/>
        <v>4.9176403000798494E-2</v>
      </c>
      <c r="R542" s="79">
        <f t="shared" si="385"/>
        <v>4.9176403000798494E-2</v>
      </c>
      <c r="S542" s="79">
        <f t="shared" si="385"/>
        <v>4.9176403000798494E-2</v>
      </c>
      <c r="T542" s="79">
        <f t="shared" si="385"/>
        <v>4.9176403000798494E-2</v>
      </c>
      <c r="U542" s="79">
        <f t="shared" si="385"/>
        <v>4.9176403000798494E-2</v>
      </c>
      <c r="V542" s="79">
        <f t="shared" si="385"/>
        <v>4.9176403000798494E-2</v>
      </c>
      <c r="W542" s="79">
        <f t="shared" si="385"/>
        <v>4.9176403000798494E-2</v>
      </c>
      <c r="X542" s="79">
        <f t="shared" si="385"/>
        <v>4.9176403000798494E-2</v>
      </c>
      <c r="Y542" s="79">
        <f t="shared" si="385"/>
        <v>4.9176403000798494E-2</v>
      </c>
      <c r="Z542" s="79">
        <f t="shared" si="385"/>
        <v>4.9176403000798494E-2</v>
      </c>
      <c r="AA542" s="79">
        <f t="shared" si="385"/>
        <v>0.18036724079652328</v>
      </c>
      <c r="AB542" s="79">
        <f t="shared" si="385"/>
        <v>0.18036724079652328</v>
      </c>
      <c r="AC542" s="79">
        <f t="shared" si="385"/>
        <v>0.18036724079652328</v>
      </c>
      <c r="AD542" s="79">
        <f t="shared" si="385"/>
        <v>0.18036724079652328</v>
      </c>
      <c r="AE542" s="79">
        <f t="shared" si="385"/>
        <v>0.18036724079652328</v>
      </c>
      <c r="AF542" s="79">
        <f t="shared" si="385"/>
        <v>0.18036724079652328</v>
      </c>
      <c r="AG542" s="215"/>
    </row>
    <row r="543" spans="1:33" s="214" customFormat="1" x14ac:dyDescent="0.2">
      <c r="A543" s="4" t="s">
        <v>97</v>
      </c>
      <c r="B543" s="62"/>
      <c r="C543" s="28">
        <f t="shared" ref="C543:AF543" si="386">IF(C$522&gt;C542,C539+((C540-C539)/2),C539-((C539-C541)/2))</f>
        <v>-78125000</v>
      </c>
      <c r="D543" s="28">
        <f t="shared" si="386"/>
        <v>-3359375000</v>
      </c>
      <c r="E543" s="28">
        <f t="shared" si="386"/>
        <v>-78125000</v>
      </c>
      <c r="F543" s="28">
        <f t="shared" si="386"/>
        <v>-78125000</v>
      </c>
      <c r="G543" s="28">
        <f t="shared" si="386"/>
        <v>-1015625000</v>
      </c>
      <c r="H543" s="28">
        <f t="shared" si="386"/>
        <v>-78125000</v>
      </c>
      <c r="I543" s="28">
        <f t="shared" si="386"/>
        <v>-78125000</v>
      </c>
      <c r="J543" s="28">
        <f t="shared" si="386"/>
        <v>390625000</v>
      </c>
      <c r="K543" s="28">
        <f t="shared" si="386"/>
        <v>-78125000</v>
      </c>
      <c r="L543" s="28">
        <f t="shared" si="386"/>
        <v>-78125000</v>
      </c>
      <c r="M543" s="28">
        <f t="shared" si="386"/>
        <v>-78125000</v>
      </c>
      <c r="N543" s="28">
        <f t="shared" si="386"/>
        <v>-78125000</v>
      </c>
      <c r="O543" s="28">
        <f t="shared" si="386"/>
        <v>-78125000</v>
      </c>
      <c r="P543" s="28">
        <f t="shared" si="386"/>
        <v>-78125000</v>
      </c>
      <c r="Q543" s="28">
        <f t="shared" si="386"/>
        <v>-78125000</v>
      </c>
      <c r="R543" s="28">
        <f t="shared" si="386"/>
        <v>-78125000</v>
      </c>
      <c r="S543" s="28">
        <f t="shared" si="386"/>
        <v>-78125000</v>
      </c>
      <c r="T543" s="28">
        <f t="shared" si="386"/>
        <v>-78125000</v>
      </c>
      <c r="U543" s="28">
        <f t="shared" si="386"/>
        <v>-78125000</v>
      </c>
      <c r="V543" s="28">
        <f t="shared" si="386"/>
        <v>-78125000</v>
      </c>
      <c r="W543" s="28">
        <f t="shared" si="386"/>
        <v>-78125000</v>
      </c>
      <c r="X543" s="28">
        <f t="shared" si="386"/>
        <v>-78125000</v>
      </c>
      <c r="Y543" s="28">
        <f t="shared" si="386"/>
        <v>-78125000</v>
      </c>
      <c r="Z543" s="28">
        <f t="shared" si="386"/>
        <v>-78125000</v>
      </c>
      <c r="AA543" s="28">
        <f t="shared" si="386"/>
        <v>2578125000</v>
      </c>
      <c r="AB543" s="28">
        <f t="shared" si="386"/>
        <v>2578125000</v>
      </c>
      <c r="AC543" s="28">
        <f t="shared" si="386"/>
        <v>2578125000</v>
      </c>
      <c r="AD543" s="28">
        <f t="shared" si="386"/>
        <v>2578125000</v>
      </c>
      <c r="AE543" s="28">
        <f t="shared" si="386"/>
        <v>2578125000</v>
      </c>
      <c r="AF543" s="28">
        <f t="shared" si="386"/>
        <v>2578125000</v>
      </c>
      <c r="AG543" s="48"/>
    </row>
    <row r="544" spans="1:33" s="214" customFormat="1" x14ac:dyDescent="0.2">
      <c r="A544" s="4" t="s">
        <v>98</v>
      </c>
      <c r="B544" s="62"/>
      <c r="C544" s="28">
        <f>IF(C$522&lt;C542,C539,C540)</f>
        <v>156250000</v>
      </c>
      <c r="D544" s="28">
        <f t="shared" ref="D544:AF544" si="387">IF(D$522&lt;D542,D539,D540)</f>
        <v>-3125000000</v>
      </c>
      <c r="E544" s="28">
        <f t="shared" si="387"/>
        <v>156250000</v>
      </c>
      <c r="F544" s="28">
        <f t="shared" si="387"/>
        <v>156250000</v>
      </c>
      <c r="G544" s="28">
        <f t="shared" si="387"/>
        <v>-781250000</v>
      </c>
      <c r="H544" s="28">
        <f t="shared" si="387"/>
        <v>156250000</v>
      </c>
      <c r="I544" s="28">
        <f t="shared" si="387"/>
        <v>156250000</v>
      </c>
      <c r="J544" s="28">
        <f t="shared" si="387"/>
        <v>625000000</v>
      </c>
      <c r="K544" s="28">
        <f t="shared" si="387"/>
        <v>156250000</v>
      </c>
      <c r="L544" s="28">
        <f t="shared" si="387"/>
        <v>156250000</v>
      </c>
      <c r="M544" s="28">
        <f t="shared" si="387"/>
        <v>156250000</v>
      </c>
      <c r="N544" s="28">
        <f t="shared" si="387"/>
        <v>156250000</v>
      </c>
      <c r="O544" s="28">
        <f t="shared" si="387"/>
        <v>156250000</v>
      </c>
      <c r="P544" s="28">
        <f t="shared" si="387"/>
        <v>156250000</v>
      </c>
      <c r="Q544" s="28">
        <f t="shared" si="387"/>
        <v>156250000</v>
      </c>
      <c r="R544" s="28">
        <f t="shared" si="387"/>
        <v>156250000</v>
      </c>
      <c r="S544" s="28">
        <f t="shared" si="387"/>
        <v>156250000</v>
      </c>
      <c r="T544" s="28">
        <f t="shared" si="387"/>
        <v>156250000</v>
      </c>
      <c r="U544" s="28">
        <f t="shared" si="387"/>
        <v>156250000</v>
      </c>
      <c r="V544" s="28">
        <f t="shared" si="387"/>
        <v>156250000</v>
      </c>
      <c r="W544" s="28">
        <f t="shared" si="387"/>
        <v>156250000</v>
      </c>
      <c r="X544" s="28">
        <f t="shared" si="387"/>
        <v>156250000</v>
      </c>
      <c r="Y544" s="28">
        <f t="shared" si="387"/>
        <v>156250000</v>
      </c>
      <c r="Z544" s="28">
        <f t="shared" si="387"/>
        <v>156250000</v>
      </c>
      <c r="AA544" s="28">
        <f t="shared" si="387"/>
        <v>2656250000</v>
      </c>
      <c r="AB544" s="28">
        <f t="shared" si="387"/>
        <v>2656250000</v>
      </c>
      <c r="AC544" s="28">
        <f t="shared" si="387"/>
        <v>2656250000</v>
      </c>
      <c r="AD544" s="28">
        <f t="shared" si="387"/>
        <v>2656250000</v>
      </c>
      <c r="AE544" s="28">
        <f t="shared" si="387"/>
        <v>2656250000</v>
      </c>
      <c r="AF544" s="28">
        <f t="shared" si="387"/>
        <v>2656250000</v>
      </c>
      <c r="AG544" s="48"/>
    </row>
    <row r="545" spans="1:33" s="214" customFormat="1" x14ac:dyDescent="0.2">
      <c r="A545" s="4" t="s">
        <v>99</v>
      </c>
      <c r="B545" s="62"/>
      <c r="C545" s="28">
        <f>IF(C$522&gt;C542,C539,C541)</f>
        <v>-312500000</v>
      </c>
      <c r="D545" s="28">
        <f t="shared" ref="D545:AF545" si="388">IF(D$522&gt;D542,D539,D541)</f>
        <v>-3593750000</v>
      </c>
      <c r="E545" s="28">
        <f t="shared" si="388"/>
        <v>-312500000</v>
      </c>
      <c r="F545" s="28">
        <f t="shared" si="388"/>
        <v>-312500000</v>
      </c>
      <c r="G545" s="28">
        <f t="shared" si="388"/>
        <v>-1250000000</v>
      </c>
      <c r="H545" s="28">
        <f t="shared" si="388"/>
        <v>-312500000</v>
      </c>
      <c r="I545" s="28">
        <f t="shared" si="388"/>
        <v>-312500000</v>
      </c>
      <c r="J545" s="28">
        <f t="shared" si="388"/>
        <v>156250000</v>
      </c>
      <c r="K545" s="28">
        <f t="shared" si="388"/>
        <v>-312500000</v>
      </c>
      <c r="L545" s="28">
        <f t="shared" si="388"/>
        <v>-312500000</v>
      </c>
      <c r="M545" s="28">
        <f t="shared" si="388"/>
        <v>-312500000</v>
      </c>
      <c r="N545" s="28">
        <f t="shared" si="388"/>
        <v>-312500000</v>
      </c>
      <c r="O545" s="28">
        <f t="shared" si="388"/>
        <v>-312500000</v>
      </c>
      <c r="P545" s="28">
        <f t="shared" si="388"/>
        <v>-312500000</v>
      </c>
      <c r="Q545" s="28">
        <f t="shared" si="388"/>
        <v>-312500000</v>
      </c>
      <c r="R545" s="28">
        <f t="shared" si="388"/>
        <v>-312500000</v>
      </c>
      <c r="S545" s="28">
        <f t="shared" si="388"/>
        <v>-312500000</v>
      </c>
      <c r="T545" s="28">
        <f t="shared" si="388"/>
        <v>-312500000</v>
      </c>
      <c r="U545" s="28">
        <f t="shared" si="388"/>
        <v>-312500000</v>
      </c>
      <c r="V545" s="28">
        <f t="shared" si="388"/>
        <v>-312500000</v>
      </c>
      <c r="W545" s="28">
        <f t="shared" si="388"/>
        <v>-312500000</v>
      </c>
      <c r="X545" s="28">
        <f t="shared" si="388"/>
        <v>-312500000</v>
      </c>
      <c r="Y545" s="28">
        <f t="shared" si="388"/>
        <v>-312500000</v>
      </c>
      <c r="Z545" s="28">
        <f t="shared" si="388"/>
        <v>-312500000</v>
      </c>
      <c r="AA545" s="28">
        <f t="shared" si="388"/>
        <v>2500000000</v>
      </c>
      <c r="AB545" s="28">
        <f t="shared" si="388"/>
        <v>2500000000</v>
      </c>
      <c r="AC545" s="28">
        <f t="shared" si="388"/>
        <v>2500000000</v>
      </c>
      <c r="AD545" s="28">
        <f t="shared" si="388"/>
        <v>2500000000</v>
      </c>
      <c r="AE545" s="28">
        <f t="shared" si="388"/>
        <v>2500000000</v>
      </c>
      <c r="AF545" s="28">
        <f t="shared" si="388"/>
        <v>2500000000</v>
      </c>
      <c r="AG545" s="48"/>
    </row>
    <row r="546" spans="1:33" s="47" customFormat="1" x14ac:dyDescent="0.2">
      <c r="A546" s="4" t="s">
        <v>100</v>
      </c>
      <c r="B546" s="236"/>
      <c r="C546" s="79">
        <f t="shared" ref="C546:AF546" si="389">(1/C245)*((EXP(C$241*C543)-1)/(EXP(C$242*C543)-1))</f>
        <v>4.458774476659827E-2</v>
      </c>
      <c r="D546" s="79">
        <f t="shared" si="389"/>
        <v>1.720422599494377E-2</v>
      </c>
      <c r="E546" s="79">
        <f t="shared" si="389"/>
        <v>4.458774476659827E-2</v>
      </c>
      <c r="F546" s="79">
        <f t="shared" si="389"/>
        <v>4.458774476659827E-2</v>
      </c>
      <c r="G546" s="79">
        <f t="shared" si="389"/>
        <v>3.1456174206823569E-2</v>
      </c>
      <c r="H546" s="79">
        <f t="shared" si="389"/>
        <v>4.458774476659827E-2</v>
      </c>
      <c r="I546" s="79">
        <f t="shared" si="389"/>
        <v>4.458774476659827E-2</v>
      </c>
      <c r="J546" s="79">
        <f t="shared" si="389"/>
        <v>5.4472248639315511E-2</v>
      </c>
      <c r="K546" s="79">
        <f t="shared" si="389"/>
        <v>4.458774476659827E-2</v>
      </c>
      <c r="L546" s="79">
        <f t="shared" si="389"/>
        <v>4.458774476659827E-2</v>
      </c>
      <c r="M546" s="79">
        <f t="shared" si="389"/>
        <v>4.458774476659827E-2</v>
      </c>
      <c r="N546" s="79">
        <f t="shared" si="389"/>
        <v>4.458774476659827E-2</v>
      </c>
      <c r="O546" s="79">
        <f t="shared" si="389"/>
        <v>4.458774476659827E-2</v>
      </c>
      <c r="P546" s="79">
        <f t="shared" si="389"/>
        <v>4.458774476659827E-2</v>
      </c>
      <c r="Q546" s="79">
        <f t="shared" si="389"/>
        <v>4.458774476659827E-2</v>
      </c>
      <c r="R546" s="79">
        <f t="shared" si="389"/>
        <v>4.458774476659827E-2</v>
      </c>
      <c r="S546" s="79">
        <f t="shared" si="389"/>
        <v>4.458774476659827E-2</v>
      </c>
      <c r="T546" s="79">
        <f t="shared" si="389"/>
        <v>4.458774476659827E-2</v>
      </c>
      <c r="U546" s="79">
        <f t="shared" si="389"/>
        <v>4.458774476659827E-2</v>
      </c>
      <c r="V546" s="79">
        <f t="shared" si="389"/>
        <v>4.458774476659827E-2</v>
      </c>
      <c r="W546" s="79">
        <f t="shared" si="389"/>
        <v>4.458774476659827E-2</v>
      </c>
      <c r="X546" s="79">
        <f t="shared" si="389"/>
        <v>4.458774476659827E-2</v>
      </c>
      <c r="Y546" s="79">
        <f t="shared" si="389"/>
        <v>4.458774476659827E-2</v>
      </c>
      <c r="Z546" s="79">
        <f t="shared" si="389"/>
        <v>4.458774476659827E-2</v>
      </c>
      <c r="AA546" s="79">
        <f t="shared" si="389"/>
        <v>0.17209524494897671</v>
      </c>
      <c r="AB546" s="79">
        <f t="shared" si="389"/>
        <v>0.17209524494897671</v>
      </c>
      <c r="AC546" s="79">
        <f t="shared" si="389"/>
        <v>0.17209524494897671</v>
      </c>
      <c r="AD546" s="79">
        <f t="shared" si="389"/>
        <v>0.17209524494897671</v>
      </c>
      <c r="AE546" s="79">
        <f t="shared" si="389"/>
        <v>0.17209524494897671</v>
      </c>
      <c r="AF546" s="79">
        <f t="shared" si="389"/>
        <v>0.17209524494897671</v>
      </c>
      <c r="AG546" s="215"/>
    </row>
    <row r="547" spans="1:33" s="214" customFormat="1" x14ac:dyDescent="0.2">
      <c r="A547" s="4" t="s">
        <v>97</v>
      </c>
      <c r="B547" s="62"/>
      <c r="C547" s="28">
        <f t="shared" ref="C547:AF547" si="390">IF(C$522&gt;C546,C543+((C544-C543)/2),C543-((C543-C545)/2))</f>
        <v>39062500</v>
      </c>
      <c r="D547" s="28">
        <f t="shared" si="390"/>
        <v>-3242187500</v>
      </c>
      <c r="E547" s="28">
        <f t="shared" si="390"/>
        <v>-195312500</v>
      </c>
      <c r="F547" s="28">
        <f t="shared" si="390"/>
        <v>39062500</v>
      </c>
      <c r="G547" s="28">
        <f t="shared" si="390"/>
        <v>-1132812500</v>
      </c>
      <c r="H547" s="28">
        <f t="shared" si="390"/>
        <v>39062500</v>
      </c>
      <c r="I547" s="28">
        <f t="shared" si="390"/>
        <v>39062500</v>
      </c>
      <c r="J547" s="28">
        <f t="shared" si="390"/>
        <v>507812500</v>
      </c>
      <c r="K547" s="28">
        <f t="shared" si="390"/>
        <v>39062500</v>
      </c>
      <c r="L547" s="28">
        <f t="shared" si="390"/>
        <v>39062500</v>
      </c>
      <c r="M547" s="28">
        <f t="shared" si="390"/>
        <v>39062500</v>
      </c>
      <c r="N547" s="28">
        <f t="shared" si="390"/>
        <v>39062500</v>
      </c>
      <c r="O547" s="28">
        <f t="shared" si="390"/>
        <v>39062500</v>
      </c>
      <c r="P547" s="28">
        <f t="shared" si="390"/>
        <v>39062500</v>
      </c>
      <c r="Q547" s="28">
        <f t="shared" si="390"/>
        <v>39062500</v>
      </c>
      <c r="R547" s="28">
        <f t="shared" si="390"/>
        <v>39062500</v>
      </c>
      <c r="S547" s="28">
        <f t="shared" si="390"/>
        <v>39062500</v>
      </c>
      <c r="T547" s="28">
        <f t="shared" si="390"/>
        <v>39062500</v>
      </c>
      <c r="U547" s="28">
        <f t="shared" si="390"/>
        <v>39062500</v>
      </c>
      <c r="V547" s="28">
        <f t="shared" si="390"/>
        <v>-195312500</v>
      </c>
      <c r="W547" s="28">
        <f t="shared" si="390"/>
        <v>39062500</v>
      </c>
      <c r="X547" s="28">
        <f t="shared" si="390"/>
        <v>39062500</v>
      </c>
      <c r="Y547" s="28">
        <f t="shared" si="390"/>
        <v>39062500</v>
      </c>
      <c r="Z547" s="28">
        <f t="shared" si="390"/>
        <v>39062500</v>
      </c>
      <c r="AA547" s="28">
        <f t="shared" si="390"/>
        <v>2617187500</v>
      </c>
      <c r="AB547" s="28">
        <f t="shared" si="390"/>
        <v>2617187500</v>
      </c>
      <c r="AC547" s="28">
        <f t="shared" si="390"/>
        <v>2617187500</v>
      </c>
      <c r="AD547" s="28">
        <f t="shared" si="390"/>
        <v>2617187500</v>
      </c>
      <c r="AE547" s="28">
        <f t="shared" si="390"/>
        <v>2617187500</v>
      </c>
      <c r="AF547" s="28">
        <f t="shared" si="390"/>
        <v>2617187500</v>
      </c>
      <c r="AG547" s="48"/>
    </row>
    <row r="548" spans="1:33" s="214" customFormat="1" x14ac:dyDescent="0.2">
      <c r="A548" s="4" t="s">
        <v>98</v>
      </c>
      <c r="B548" s="62"/>
      <c r="C548" s="28">
        <f>IF(C$522&lt;C546,C543,C544)</f>
        <v>156250000</v>
      </c>
      <c r="D548" s="28">
        <f t="shared" ref="D548:AF548" si="391">IF(D$522&lt;D546,D543,D544)</f>
        <v>-3125000000</v>
      </c>
      <c r="E548" s="28">
        <f t="shared" si="391"/>
        <v>-78125000</v>
      </c>
      <c r="F548" s="28">
        <f t="shared" si="391"/>
        <v>156250000</v>
      </c>
      <c r="G548" s="28">
        <f t="shared" si="391"/>
        <v>-1015625000</v>
      </c>
      <c r="H548" s="28">
        <f t="shared" si="391"/>
        <v>156250000</v>
      </c>
      <c r="I548" s="28">
        <f t="shared" si="391"/>
        <v>156250000</v>
      </c>
      <c r="J548" s="28">
        <f t="shared" si="391"/>
        <v>625000000</v>
      </c>
      <c r="K548" s="28">
        <f t="shared" si="391"/>
        <v>156250000</v>
      </c>
      <c r="L548" s="28">
        <f t="shared" si="391"/>
        <v>156250000</v>
      </c>
      <c r="M548" s="28">
        <f t="shared" si="391"/>
        <v>156250000</v>
      </c>
      <c r="N548" s="28">
        <f t="shared" si="391"/>
        <v>156250000</v>
      </c>
      <c r="O548" s="28">
        <f t="shared" si="391"/>
        <v>156250000</v>
      </c>
      <c r="P548" s="28">
        <f t="shared" si="391"/>
        <v>156250000</v>
      </c>
      <c r="Q548" s="28">
        <f t="shared" si="391"/>
        <v>156250000</v>
      </c>
      <c r="R548" s="28">
        <f t="shared" si="391"/>
        <v>156250000</v>
      </c>
      <c r="S548" s="28">
        <f t="shared" si="391"/>
        <v>156250000</v>
      </c>
      <c r="T548" s="28">
        <f t="shared" si="391"/>
        <v>156250000</v>
      </c>
      <c r="U548" s="28">
        <f t="shared" si="391"/>
        <v>156250000</v>
      </c>
      <c r="V548" s="28">
        <f t="shared" si="391"/>
        <v>-78125000</v>
      </c>
      <c r="W548" s="28">
        <f t="shared" si="391"/>
        <v>156250000</v>
      </c>
      <c r="X548" s="28">
        <f t="shared" si="391"/>
        <v>156250000</v>
      </c>
      <c r="Y548" s="28">
        <f t="shared" si="391"/>
        <v>156250000</v>
      </c>
      <c r="Z548" s="28">
        <f t="shared" si="391"/>
        <v>156250000</v>
      </c>
      <c r="AA548" s="28">
        <f t="shared" si="391"/>
        <v>2656250000</v>
      </c>
      <c r="AB548" s="28">
        <f t="shared" si="391"/>
        <v>2656250000</v>
      </c>
      <c r="AC548" s="28">
        <f t="shared" si="391"/>
        <v>2656250000</v>
      </c>
      <c r="AD548" s="28">
        <f t="shared" si="391"/>
        <v>2656250000</v>
      </c>
      <c r="AE548" s="28">
        <f t="shared" si="391"/>
        <v>2656250000</v>
      </c>
      <c r="AF548" s="28">
        <f t="shared" si="391"/>
        <v>2656250000</v>
      </c>
      <c r="AG548" s="48"/>
    </row>
    <row r="549" spans="1:33" s="214" customFormat="1" x14ac:dyDescent="0.2">
      <c r="A549" s="4" t="s">
        <v>99</v>
      </c>
      <c r="B549" s="62"/>
      <c r="C549" s="28">
        <f>IF(C$522&gt;C546,C543,C545)</f>
        <v>-78125000</v>
      </c>
      <c r="D549" s="28">
        <f t="shared" ref="D549:AF549" si="392">IF(D$522&gt;D546,D543,D545)</f>
        <v>-3359375000</v>
      </c>
      <c r="E549" s="28">
        <f t="shared" si="392"/>
        <v>-312500000</v>
      </c>
      <c r="F549" s="28">
        <f t="shared" si="392"/>
        <v>-78125000</v>
      </c>
      <c r="G549" s="28">
        <f t="shared" si="392"/>
        <v>-1250000000</v>
      </c>
      <c r="H549" s="28">
        <f t="shared" si="392"/>
        <v>-78125000</v>
      </c>
      <c r="I549" s="28">
        <f t="shared" si="392"/>
        <v>-78125000</v>
      </c>
      <c r="J549" s="28">
        <f t="shared" si="392"/>
        <v>390625000</v>
      </c>
      <c r="K549" s="28">
        <f t="shared" si="392"/>
        <v>-78125000</v>
      </c>
      <c r="L549" s="28">
        <f t="shared" si="392"/>
        <v>-78125000</v>
      </c>
      <c r="M549" s="28">
        <f t="shared" si="392"/>
        <v>-78125000</v>
      </c>
      <c r="N549" s="28">
        <f t="shared" si="392"/>
        <v>-78125000</v>
      </c>
      <c r="O549" s="28">
        <f t="shared" si="392"/>
        <v>-78125000</v>
      </c>
      <c r="P549" s="28">
        <f t="shared" si="392"/>
        <v>-78125000</v>
      </c>
      <c r="Q549" s="28">
        <f t="shared" si="392"/>
        <v>-78125000</v>
      </c>
      <c r="R549" s="28">
        <f t="shared" si="392"/>
        <v>-78125000</v>
      </c>
      <c r="S549" s="28">
        <f t="shared" si="392"/>
        <v>-78125000</v>
      </c>
      <c r="T549" s="28">
        <f t="shared" si="392"/>
        <v>-78125000</v>
      </c>
      <c r="U549" s="28">
        <f t="shared" si="392"/>
        <v>-78125000</v>
      </c>
      <c r="V549" s="28">
        <f t="shared" si="392"/>
        <v>-312500000</v>
      </c>
      <c r="W549" s="28">
        <f t="shared" si="392"/>
        <v>-78125000</v>
      </c>
      <c r="X549" s="28">
        <f t="shared" si="392"/>
        <v>-78125000</v>
      </c>
      <c r="Y549" s="28">
        <f t="shared" si="392"/>
        <v>-78125000</v>
      </c>
      <c r="Z549" s="28">
        <f t="shared" si="392"/>
        <v>-78125000</v>
      </c>
      <c r="AA549" s="28">
        <f t="shared" si="392"/>
        <v>2578125000</v>
      </c>
      <c r="AB549" s="28">
        <f t="shared" si="392"/>
        <v>2578125000</v>
      </c>
      <c r="AC549" s="28">
        <f t="shared" si="392"/>
        <v>2578125000</v>
      </c>
      <c r="AD549" s="28">
        <f t="shared" si="392"/>
        <v>2578125000</v>
      </c>
      <c r="AE549" s="28">
        <f t="shared" si="392"/>
        <v>2578125000</v>
      </c>
      <c r="AF549" s="28">
        <f t="shared" si="392"/>
        <v>2578125000</v>
      </c>
      <c r="AG549" s="48"/>
    </row>
    <row r="550" spans="1:33" s="47" customFormat="1" x14ac:dyDescent="0.2">
      <c r="A550" s="4" t="s">
        <v>100</v>
      </c>
      <c r="B550" s="236"/>
      <c r="C550" s="79">
        <f t="shared" ref="C550:AF550" si="393">(1/C245)*((EXP(C$241*C547)-1)/(EXP(C$242*C547)-1))</f>
        <v>4.6800568079082422E-2</v>
      </c>
      <c r="D550" s="79">
        <f t="shared" si="393"/>
        <v>1.7596323870609568E-2</v>
      </c>
      <c r="E550" s="79">
        <f t="shared" si="393"/>
        <v>4.252553612313955E-2</v>
      </c>
      <c r="F550" s="79">
        <f t="shared" si="393"/>
        <v>4.6800568079082422E-2</v>
      </c>
      <c r="G550" s="79">
        <f t="shared" si="393"/>
        <v>3.0256644850837892E-2</v>
      </c>
      <c r="H550" s="79">
        <f t="shared" si="393"/>
        <v>4.6800568079082422E-2</v>
      </c>
      <c r="I550" s="79">
        <f t="shared" si="393"/>
        <v>4.6800568079082422E-2</v>
      </c>
      <c r="J550" s="79">
        <f t="shared" si="393"/>
        <v>5.7422915724169417E-2</v>
      </c>
      <c r="K550" s="79">
        <f t="shared" si="393"/>
        <v>4.6800568079082422E-2</v>
      </c>
      <c r="L550" s="79">
        <f t="shared" si="393"/>
        <v>4.6800568079082422E-2</v>
      </c>
      <c r="M550" s="79">
        <f t="shared" si="393"/>
        <v>4.6800568079082422E-2</v>
      </c>
      <c r="N550" s="79">
        <f t="shared" si="393"/>
        <v>4.6800568079082422E-2</v>
      </c>
      <c r="O550" s="79">
        <f t="shared" si="393"/>
        <v>4.6800568079082422E-2</v>
      </c>
      <c r="P550" s="79">
        <f t="shared" si="393"/>
        <v>4.6800568079082422E-2</v>
      </c>
      <c r="Q550" s="79">
        <f t="shared" si="393"/>
        <v>4.6800568079082422E-2</v>
      </c>
      <c r="R550" s="79">
        <f t="shared" si="393"/>
        <v>4.6800568079082422E-2</v>
      </c>
      <c r="S550" s="79">
        <f t="shared" si="393"/>
        <v>4.6800568079082422E-2</v>
      </c>
      <c r="T550" s="79">
        <f t="shared" si="393"/>
        <v>4.6800568079082422E-2</v>
      </c>
      <c r="U550" s="79">
        <f t="shared" si="393"/>
        <v>4.6800568079082422E-2</v>
      </c>
      <c r="V550" s="79">
        <f t="shared" si="393"/>
        <v>4.252553612313955E-2</v>
      </c>
      <c r="W550" s="79">
        <f t="shared" si="393"/>
        <v>4.6800568079082422E-2</v>
      </c>
      <c r="X550" s="79">
        <f t="shared" si="393"/>
        <v>4.6800568079082422E-2</v>
      </c>
      <c r="Y550" s="79">
        <f t="shared" si="393"/>
        <v>4.6800568079082422E-2</v>
      </c>
      <c r="Z550" s="79">
        <f t="shared" si="393"/>
        <v>4.6800568079082422E-2</v>
      </c>
      <c r="AA550" s="79">
        <f t="shared" si="393"/>
        <v>0.1761749442208585</v>
      </c>
      <c r="AB550" s="79">
        <f t="shared" si="393"/>
        <v>0.1761749442208585</v>
      </c>
      <c r="AC550" s="79">
        <f t="shared" si="393"/>
        <v>0.1761749442208585</v>
      </c>
      <c r="AD550" s="79">
        <f t="shared" si="393"/>
        <v>0.1761749442208585</v>
      </c>
      <c r="AE550" s="79">
        <f t="shared" si="393"/>
        <v>0.1761749442208585</v>
      </c>
      <c r="AF550" s="79">
        <f t="shared" si="393"/>
        <v>0.1761749442208585</v>
      </c>
      <c r="AG550" s="215"/>
    </row>
    <row r="551" spans="1:33" s="214" customFormat="1" x14ac:dyDescent="0.2">
      <c r="A551" s="4" t="s">
        <v>97</v>
      </c>
      <c r="B551" s="62"/>
      <c r="C551" s="28">
        <f t="shared" ref="C551:AF551" si="394">IF(C$522&gt;C550,C547+((C548-C547)/2),C547-((C547-C549)/2))</f>
        <v>97656250</v>
      </c>
      <c r="D551" s="28">
        <f t="shared" si="394"/>
        <v>-3183593750</v>
      </c>
      <c r="E551" s="28">
        <f t="shared" si="394"/>
        <v>-136718750</v>
      </c>
      <c r="F551" s="28">
        <f t="shared" si="394"/>
        <v>97656250</v>
      </c>
      <c r="G551" s="28">
        <f t="shared" si="394"/>
        <v>-1074218750</v>
      </c>
      <c r="H551" s="28">
        <f t="shared" si="394"/>
        <v>97656250</v>
      </c>
      <c r="I551" s="28">
        <f t="shared" si="394"/>
        <v>-19531250</v>
      </c>
      <c r="J551" s="28">
        <f t="shared" si="394"/>
        <v>449218750</v>
      </c>
      <c r="K551" s="28">
        <f t="shared" si="394"/>
        <v>97656250</v>
      </c>
      <c r="L551" s="28">
        <f t="shared" si="394"/>
        <v>97656250</v>
      </c>
      <c r="M551" s="28">
        <f t="shared" si="394"/>
        <v>97656250</v>
      </c>
      <c r="N551" s="28">
        <f t="shared" si="394"/>
        <v>97656250</v>
      </c>
      <c r="O551" s="28">
        <f t="shared" si="394"/>
        <v>97656250</v>
      </c>
      <c r="P551" s="28">
        <f t="shared" si="394"/>
        <v>97656250</v>
      </c>
      <c r="Q551" s="28">
        <f t="shared" si="394"/>
        <v>-19531250</v>
      </c>
      <c r="R551" s="28">
        <f t="shared" si="394"/>
        <v>-19531250</v>
      </c>
      <c r="S551" s="28">
        <f t="shared" si="394"/>
        <v>-19531250</v>
      </c>
      <c r="T551" s="28">
        <f t="shared" si="394"/>
        <v>-19531250</v>
      </c>
      <c r="U551" s="28">
        <f t="shared" si="394"/>
        <v>-19531250</v>
      </c>
      <c r="V551" s="28">
        <f t="shared" si="394"/>
        <v>-136718750</v>
      </c>
      <c r="W551" s="28">
        <f t="shared" si="394"/>
        <v>-19531250</v>
      </c>
      <c r="X551" s="28">
        <f t="shared" si="394"/>
        <v>97656250</v>
      </c>
      <c r="Y551" s="28">
        <f t="shared" si="394"/>
        <v>97656250</v>
      </c>
      <c r="Z551" s="28">
        <f t="shared" si="394"/>
        <v>-19531250</v>
      </c>
      <c r="AA551" s="28">
        <f t="shared" si="394"/>
        <v>2597656250</v>
      </c>
      <c r="AB551" s="28">
        <f t="shared" si="394"/>
        <v>2597656250</v>
      </c>
      <c r="AC551" s="28">
        <f t="shared" si="394"/>
        <v>2597656250</v>
      </c>
      <c r="AD551" s="28">
        <f t="shared" si="394"/>
        <v>2597656250</v>
      </c>
      <c r="AE551" s="28">
        <f t="shared" si="394"/>
        <v>2597656250</v>
      </c>
      <c r="AF551" s="28">
        <f t="shared" si="394"/>
        <v>2597656250</v>
      </c>
      <c r="AG551" s="48"/>
    </row>
    <row r="552" spans="1:33" s="214" customFormat="1" x14ac:dyDescent="0.2">
      <c r="A552" s="4" t="s">
        <v>98</v>
      </c>
      <c r="B552" s="62"/>
      <c r="C552" s="28">
        <f>IF(C$522&lt;C550,C547,C548)</f>
        <v>156250000</v>
      </c>
      <c r="D552" s="28">
        <f t="shared" ref="D552:AF552" si="395">IF(D$522&lt;D550,D547,D548)</f>
        <v>-3125000000</v>
      </c>
      <c r="E552" s="28">
        <f t="shared" si="395"/>
        <v>-78125000</v>
      </c>
      <c r="F552" s="28">
        <f t="shared" si="395"/>
        <v>156250000</v>
      </c>
      <c r="G552" s="28">
        <f t="shared" si="395"/>
        <v>-1015625000</v>
      </c>
      <c r="H552" s="28">
        <f t="shared" si="395"/>
        <v>156250000</v>
      </c>
      <c r="I552" s="28">
        <f t="shared" si="395"/>
        <v>39062500</v>
      </c>
      <c r="J552" s="28">
        <f t="shared" si="395"/>
        <v>507812500</v>
      </c>
      <c r="K552" s="28">
        <f t="shared" si="395"/>
        <v>156250000</v>
      </c>
      <c r="L552" s="28">
        <f t="shared" si="395"/>
        <v>156250000</v>
      </c>
      <c r="M552" s="28">
        <f t="shared" si="395"/>
        <v>156250000</v>
      </c>
      <c r="N552" s="28">
        <f t="shared" si="395"/>
        <v>156250000</v>
      </c>
      <c r="O552" s="28">
        <f t="shared" si="395"/>
        <v>156250000</v>
      </c>
      <c r="P552" s="28">
        <f t="shared" si="395"/>
        <v>156250000</v>
      </c>
      <c r="Q552" s="28">
        <f t="shared" si="395"/>
        <v>39062500</v>
      </c>
      <c r="R552" s="28">
        <f t="shared" si="395"/>
        <v>39062500</v>
      </c>
      <c r="S552" s="28">
        <f t="shared" si="395"/>
        <v>39062500</v>
      </c>
      <c r="T552" s="28">
        <f t="shared" si="395"/>
        <v>39062500</v>
      </c>
      <c r="U552" s="28">
        <f t="shared" si="395"/>
        <v>39062500</v>
      </c>
      <c r="V552" s="28">
        <f t="shared" si="395"/>
        <v>-78125000</v>
      </c>
      <c r="W552" s="28">
        <f t="shared" si="395"/>
        <v>39062500</v>
      </c>
      <c r="X552" s="28">
        <f t="shared" si="395"/>
        <v>156250000</v>
      </c>
      <c r="Y552" s="28">
        <f t="shared" si="395"/>
        <v>156250000</v>
      </c>
      <c r="Z552" s="28">
        <f t="shared" si="395"/>
        <v>39062500</v>
      </c>
      <c r="AA552" s="28">
        <f t="shared" si="395"/>
        <v>2617187500</v>
      </c>
      <c r="AB552" s="28">
        <f t="shared" si="395"/>
        <v>2617187500</v>
      </c>
      <c r="AC552" s="28">
        <f t="shared" si="395"/>
        <v>2617187500</v>
      </c>
      <c r="AD552" s="28">
        <f t="shared" si="395"/>
        <v>2617187500</v>
      </c>
      <c r="AE552" s="28">
        <f t="shared" si="395"/>
        <v>2617187500</v>
      </c>
      <c r="AF552" s="28">
        <f t="shared" si="395"/>
        <v>2617187500</v>
      </c>
      <c r="AG552" s="48"/>
    </row>
    <row r="553" spans="1:33" s="214" customFormat="1" x14ac:dyDescent="0.2">
      <c r="A553" s="4" t="s">
        <v>99</v>
      </c>
      <c r="B553" s="62"/>
      <c r="C553" s="28">
        <f>IF(C$522&gt;C550,C547,C549)</f>
        <v>39062500</v>
      </c>
      <c r="D553" s="28">
        <f t="shared" ref="D553:AF553" si="396">IF(D$522&gt;D550,D547,D549)</f>
        <v>-3242187500</v>
      </c>
      <c r="E553" s="28">
        <f t="shared" si="396"/>
        <v>-195312500</v>
      </c>
      <c r="F553" s="28">
        <f t="shared" si="396"/>
        <v>39062500</v>
      </c>
      <c r="G553" s="28">
        <f t="shared" si="396"/>
        <v>-1132812500</v>
      </c>
      <c r="H553" s="28">
        <f t="shared" si="396"/>
        <v>39062500</v>
      </c>
      <c r="I553" s="28">
        <f t="shared" si="396"/>
        <v>-78125000</v>
      </c>
      <c r="J553" s="28">
        <f t="shared" si="396"/>
        <v>390625000</v>
      </c>
      <c r="K553" s="28">
        <f t="shared" si="396"/>
        <v>39062500</v>
      </c>
      <c r="L553" s="28">
        <f t="shared" si="396"/>
        <v>39062500</v>
      </c>
      <c r="M553" s="28">
        <f t="shared" si="396"/>
        <v>39062500</v>
      </c>
      <c r="N553" s="28">
        <f t="shared" si="396"/>
        <v>39062500</v>
      </c>
      <c r="O553" s="28">
        <f t="shared" si="396"/>
        <v>39062500</v>
      </c>
      <c r="P553" s="28">
        <f t="shared" si="396"/>
        <v>39062500</v>
      </c>
      <c r="Q553" s="28">
        <f t="shared" si="396"/>
        <v>-78125000</v>
      </c>
      <c r="R553" s="28">
        <f t="shared" si="396"/>
        <v>-78125000</v>
      </c>
      <c r="S553" s="28">
        <f t="shared" si="396"/>
        <v>-78125000</v>
      </c>
      <c r="T553" s="28">
        <f t="shared" si="396"/>
        <v>-78125000</v>
      </c>
      <c r="U553" s="28">
        <f t="shared" si="396"/>
        <v>-78125000</v>
      </c>
      <c r="V553" s="28">
        <f t="shared" si="396"/>
        <v>-195312500</v>
      </c>
      <c r="W553" s="28">
        <f t="shared" si="396"/>
        <v>-78125000</v>
      </c>
      <c r="X553" s="28">
        <f t="shared" si="396"/>
        <v>39062500</v>
      </c>
      <c r="Y553" s="28">
        <f t="shared" si="396"/>
        <v>39062500</v>
      </c>
      <c r="Z553" s="28">
        <f t="shared" si="396"/>
        <v>-78125000</v>
      </c>
      <c r="AA553" s="28">
        <f t="shared" si="396"/>
        <v>2578125000</v>
      </c>
      <c r="AB553" s="28">
        <f t="shared" si="396"/>
        <v>2578125000</v>
      </c>
      <c r="AC553" s="28">
        <f t="shared" si="396"/>
        <v>2578125000</v>
      </c>
      <c r="AD553" s="28">
        <f t="shared" si="396"/>
        <v>2578125000</v>
      </c>
      <c r="AE553" s="28">
        <f t="shared" si="396"/>
        <v>2578125000</v>
      </c>
      <c r="AF553" s="28">
        <f t="shared" si="396"/>
        <v>2578125000</v>
      </c>
      <c r="AG553" s="48"/>
    </row>
    <row r="554" spans="1:33" s="47" customFormat="1" x14ac:dyDescent="0.2">
      <c r="A554" s="4" t="s">
        <v>100</v>
      </c>
      <c r="B554" s="236"/>
      <c r="C554" s="79">
        <f t="shared" ref="C554:AF554" si="397">(1/C245)*((EXP(C$241*C551)-1)/(EXP(C$242*C551)-1))</f>
        <v>4.7967292803993027E-2</v>
      </c>
      <c r="D554" s="79">
        <f t="shared" si="397"/>
        <v>1.7800259079127755E-2</v>
      </c>
      <c r="E554" s="79">
        <f t="shared" si="397"/>
        <v>4.3538548370108753E-2</v>
      </c>
      <c r="F554" s="79">
        <f t="shared" si="397"/>
        <v>4.7967292803993027E-2</v>
      </c>
      <c r="G554" s="79">
        <f t="shared" si="397"/>
        <v>3.0846635280624406E-2</v>
      </c>
      <c r="H554" s="79">
        <f t="shared" si="397"/>
        <v>4.7967292803993027E-2</v>
      </c>
      <c r="I554" s="79">
        <f t="shared" si="397"/>
        <v>4.5674579231826537E-2</v>
      </c>
      <c r="J554" s="79">
        <f t="shared" si="397"/>
        <v>5.5920635121883812E-2</v>
      </c>
      <c r="K554" s="79">
        <f t="shared" si="397"/>
        <v>4.7967292803993027E-2</v>
      </c>
      <c r="L554" s="79">
        <f t="shared" si="397"/>
        <v>4.7967292803993027E-2</v>
      </c>
      <c r="M554" s="79">
        <f t="shared" si="397"/>
        <v>4.7967292803993027E-2</v>
      </c>
      <c r="N554" s="79">
        <f t="shared" si="397"/>
        <v>4.7967292803993027E-2</v>
      </c>
      <c r="O554" s="79">
        <f t="shared" si="397"/>
        <v>4.7967292803993027E-2</v>
      </c>
      <c r="P554" s="79">
        <f t="shared" si="397"/>
        <v>4.7967292803993027E-2</v>
      </c>
      <c r="Q554" s="79">
        <f t="shared" si="397"/>
        <v>4.5674579231826537E-2</v>
      </c>
      <c r="R554" s="79">
        <f t="shared" si="397"/>
        <v>4.5674579231826537E-2</v>
      </c>
      <c r="S554" s="79">
        <f t="shared" si="397"/>
        <v>4.5674579231826537E-2</v>
      </c>
      <c r="T554" s="79">
        <f t="shared" si="397"/>
        <v>4.5674579231826537E-2</v>
      </c>
      <c r="U554" s="79">
        <f t="shared" si="397"/>
        <v>4.5674579231826537E-2</v>
      </c>
      <c r="V554" s="79">
        <f t="shared" si="397"/>
        <v>4.3538548370108753E-2</v>
      </c>
      <c r="W554" s="79">
        <f t="shared" si="397"/>
        <v>4.5674579231826537E-2</v>
      </c>
      <c r="X554" s="79">
        <f t="shared" si="397"/>
        <v>4.7967292803993027E-2</v>
      </c>
      <c r="Y554" s="79">
        <f t="shared" si="397"/>
        <v>4.7967292803993027E-2</v>
      </c>
      <c r="Z554" s="79">
        <f t="shared" si="397"/>
        <v>4.5674579231826537E-2</v>
      </c>
      <c r="AA554" s="79">
        <f t="shared" si="397"/>
        <v>0.17412122161652235</v>
      </c>
      <c r="AB554" s="79">
        <f t="shared" si="397"/>
        <v>0.17412122161652235</v>
      </c>
      <c r="AC554" s="79">
        <f t="shared" si="397"/>
        <v>0.17412122161652235</v>
      </c>
      <c r="AD554" s="79">
        <f t="shared" si="397"/>
        <v>0.17412122161652235</v>
      </c>
      <c r="AE554" s="79">
        <f t="shared" si="397"/>
        <v>0.17412122161652235</v>
      </c>
      <c r="AF554" s="79">
        <f t="shared" si="397"/>
        <v>0.17412122161652235</v>
      </c>
      <c r="AG554" s="215"/>
    </row>
    <row r="555" spans="1:33" s="214" customFormat="1" x14ac:dyDescent="0.2">
      <c r="A555" s="4" t="s">
        <v>97</v>
      </c>
      <c r="B555" s="62"/>
      <c r="C555" s="28">
        <f t="shared" ref="C555:AF555" si="398">IF(C$522&gt;C554,C551+((C552-C551)/2),C551-((C551-C553)/2))</f>
        <v>126953125</v>
      </c>
      <c r="D555" s="28">
        <f t="shared" si="398"/>
        <v>-3154296875</v>
      </c>
      <c r="E555" s="28">
        <f t="shared" si="398"/>
        <v>-166015625</v>
      </c>
      <c r="F555" s="28">
        <f t="shared" si="398"/>
        <v>126953125</v>
      </c>
      <c r="G555" s="28">
        <f t="shared" si="398"/>
        <v>-1103515625</v>
      </c>
      <c r="H555" s="28">
        <f t="shared" si="398"/>
        <v>126953125</v>
      </c>
      <c r="I555" s="28">
        <f t="shared" si="398"/>
        <v>-48828125</v>
      </c>
      <c r="J555" s="28">
        <f t="shared" si="398"/>
        <v>419921875</v>
      </c>
      <c r="K555" s="28">
        <f t="shared" si="398"/>
        <v>68359375</v>
      </c>
      <c r="L555" s="28">
        <f t="shared" si="398"/>
        <v>68359375</v>
      </c>
      <c r="M555" s="28">
        <f t="shared" si="398"/>
        <v>68359375</v>
      </c>
      <c r="N555" s="28">
        <f t="shared" si="398"/>
        <v>68359375</v>
      </c>
      <c r="O555" s="28">
        <f t="shared" si="398"/>
        <v>68359375</v>
      </c>
      <c r="P555" s="28">
        <f t="shared" si="398"/>
        <v>68359375</v>
      </c>
      <c r="Q555" s="28">
        <f t="shared" si="398"/>
        <v>9765625</v>
      </c>
      <c r="R555" s="28">
        <f t="shared" si="398"/>
        <v>-48828125</v>
      </c>
      <c r="S555" s="28">
        <f t="shared" si="398"/>
        <v>9765625</v>
      </c>
      <c r="T555" s="28">
        <f t="shared" si="398"/>
        <v>9765625</v>
      </c>
      <c r="U555" s="28">
        <f t="shared" si="398"/>
        <v>9765625</v>
      </c>
      <c r="V555" s="28">
        <f t="shared" si="398"/>
        <v>-107421875</v>
      </c>
      <c r="W555" s="28">
        <f t="shared" si="398"/>
        <v>-48828125</v>
      </c>
      <c r="X555" s="28">
        <f t="shared" si="398"/>
        <v>68359375</v>
      </c>
      <c r="Y555" s="28">
        <f t="shared" si="398"/>
        <v>68359375</v>
      </c>
      <c r="Z555" s="28">
        <f t="shared" si="398"/>
        <v>9765625</v>
      </c>
      <c r="AA555" s="28">
        <f t="shared" si="398"/>
        <v>2587890625</v>
      </c>
      <c r="AB555" s="28">
        <f t="shared" si="398"/>
        <v>2587890625</v>
      </c>
      <c r="AC555" s="28">
        <f t="shared" si="398"/>
        <v>2587890625</v>
      </c>
      <c r="AD555" s="28">
        <f t="shared" si="398"/>
        <v>2587890625</v>
      </c>
      <c r="AE555" s="28">
        <f t="shared" si="398"/>
        <v>2587890625</v>
      </c>
      <c r="AF555" s="28">
        <f t="shared" si="398"/>
        <v>2587890625</v>
      </c>
      <c r="AG555" s="48"/>
    </row>
    <row r="556" spans="1:33" s="214" customFormat="1" x14ac:dyDescent="0.2">
      <c r="A556" s="4" t="s">
        <v>98</v>
      </c>
      <c r="B556" s="62"/>
      <c r="C556" s="28">
        <f>IF(C$522&lt;C554,C551,C552)</f>
        <v>156250000</v>
      </c>
      <c r="D556" s="28">
        <f t="shared" ref="D556:AF556" si="399">IF(D$522&lt;D554,D551,D552)</f>
        <v>-3125000000</v>
      </c>
      <c r="E556" s="28">
        <f t="shared" si="399"/>
        <v>-136718750</v>
      </c>
      <c r="F556" s="28">
        <f t="shared" si="399"/>
        <v>156250000</v>
      </c>
      <c r="G556" s="28">
        <f t="shared" si="399"/>
        <v>-1074218750</v>
      </c>
      <c r="H556" s="28">
        <f t="shared" si="399"/>
        <v>156250000</v>
      </c>
      <c r="I556" s="28">
        <f t="shared" si="399"/>
        <v>-19531250</v>
      </c>
      <c r="J556" s="28">
        <f t="shared" si="399"/>
        <v>449218750</v>
      </c>
      <c r="K556" s="28">
        <f t="shared" si="399"/>
        <v>97656250</v>
      </c>
      <c r="L556" s="28">
        <f t="shared" si="399"/>
        <v>97656250</v>
      </c>
      <c r="M556" s="28">
        <f t="shared" si="399"/>
        <v>97656250</v>
      </c>
      <c r="N556" s="28">
        <f t="shared" si="399"/>
        <v>97656250</v>
      </c>
      <c r="O556" s="28">
        <f t="shared" si="399"/>
        <v>97656250</v>
      </c>
      <c r="P556" s="28">
        <f t="shared" si="399"/>
        <v>97656250</v>
      </c>
      <c r="Q556" s="28">
        <f t="shared" si="399"/>
        <v>39062500</v>
      </c>
      <c r="R556" s="28">
        <f t="shared" si="399"/>
        <v>-19531250</v>
      </c>
      <c r="S556" s="28">
        <f t="shared" si="399"/>
        <v>39062500</v>
      </c>
      <c r="T556" s="28">
        <f t="shared" si="399"/>
        <v>39062500</v>
      </c>
      <c r="U556" s="28">
        <f t="shared" si="399"/>
        <v>39062500</v>
      </c>
      <c r="V556" s="28">
        <f t="shared" si="399"/>
        <v>-78125000</v>
      </c>
      <c r="W556" s="28">
        <f t="shared" si="399"/>
        <v>-19531250</v>
      </c>
      <c r="X556" s="28">
        <f t="shared" si="399"/>
        <v>97656250</v>
      </c>
      <c r="Y556" s="28">
        <f t="shared" si="399"/>
        <v>97656250</v>
      </c>
      <c r="Z556" s="28">
        <f t="shared" si="399"/>
        <v>39062500</v>
      </c>
      <c r="AA556" s="28">
        <f t="shared" si="399"/>
        <v>2597656250</v>
      </c>
      <c r="AB556" s="28">
        <f t="shared" si="399"/>
        <v>2597656250</v>
      </c>
      <c r="AC556" s="28">
        <f t="shared" si="399"/>
        <v>2597656250</v>
      </c>
      <c r="AD556" s="28">
        <f t="shared" si="399"/>
        <v>2597656250</v>
      </c>
      <c r="AE556" s="28">
        <f t="shared" si="399"/>
        <v>2597656250</v>
      </c>
      <c r="AF556" s="28">
        <f t="shared" si="399"/>
        <v>2597656250</v>
      </c>
      <c r="AG556" s="48"/>
    </row>
    <row r="557" spans="1:33" s="214" customFormat="1" x14ac:dyDescent="0.2">
      <c r="A557" s="4" t="s">
        <v>99</v>
      </c>
      <c r="B557" s="62"/>
      <c r="C557" s="28">
        <f>IF(C$522&gt;C554,C551,C553)</f>
        <v>97656250</v>
      </c>
      <c r="D557" s="28">
        <f t="shared" ref="D557:AF557" si="400">IF(D$522&gt;D554,D551,D553)</f>
        <v>-3183593750</v>
      </c>
      <c r="E557" s="28">
        <f t="shared" si="400"/>
        <v>-195312500</v>
      </c>
      <c r="F557" s="28">
        <f t="shared" si="400"/>
        <v>97656250</v>
      </c>
      <c r="G557" s="28">
        <f t="shared" si="400"/>
        <v>-1132812500</v>
      </c>
      <c r="H557" s="28">
        <f t="shared" si="400"/>
        <v>97656250</v>
      </c>
      <c r="I557" s="28">
        <f t="shared" si="400"/>
        <v>-78125000</v>
      </c>
      <c r="J557" s="28">
        <f t="shared" si="400"/>
        <v>390625000</v>
      </c>
      <c r="K557" s="28">
        <f t="shared" si="400"/>
        <v>39062500</v>
      </c>
      <c r="L557" s="28">
        <f t="shared" si="400"/>
        <v>39062500</v>
      </c>
      <c r="M557" s="28">
        <f t="shared" si="400"/>
        <v>39062500</v>
      </c>
      <c r="N557" s="28">
        <f t="shared" si="400"/>
        <v>39062500</v>
      </c>
      <c r="O557" s="28">
        <f t="shared" si="400"/>
        <v>39062500</v>
      </c>
      <c r="P557" s="28">
        <f t="shared" si="400"/>
        <v>39062500</v>
      </c>
      <c r="Q557" s="28">
        <f t="shared" si="400"/>
        <v>-19531250</v>
      </c>
      <c r="R557" s="28">
        <f t="shared" si="400"/>
        <v>-78125000</v>
      </c>
      <c r="S557" s="28">
        <f t="shared" si="400"/>
        <v>-19531250</v>
      </c>
      <c r="T557" s="28">
        <f t="shared" si="400"/>
        <v>-19531250</v>
      </c>
      <c r="U557" s="28">
        <f t="shared" si="400"/>
        <v>-19531250</v>
      </c>
      <c r="V557" s="28">
        <f t="shared" si="400"/>
        <v>-136718750</v>
      </c>
      <c r="W557" s="28">
        <f t="shared" si="400"/>
        <v>-78125000</v>
      </c>
      <c r="X557" s="28">
        <f t="shared" si="400"/>
        <v>39062500</v>
      </c>
      <c r="Y557" s="28">
        <f t="shared" si="400"/>
        <v>39062500</v>
      </c>
      <c r="Z557" s="28">
        <f t="shared" si="400"/>
        <v>-19531250</v>
      </c>
      <c r="AA557" s="28">
        <f t="shared" si="400"/>
        <v>2578125000</v>
      </c>
      <c r="AB557" s="28">
        <f t="shared" si="400"/>
        <v>2578125000</v>
      </c>
      <c r="AC557" s="28">
        <f t="shared" si="400"/>
        <v>2578125000</v>
      </c>
      <c r="AD557" s="28">
        <f t="shared" si="400"/>
        <v>2578125000</v>
      </c>
      <c r="AE557" s="28">
        <f t="shared" si="400"/>
        <v>2578125000</v>
      </c>
      <c r="AF557" s="28">
        <f t="shared" si="400"/>
        <v>2578125000</v>
      </c>
      <c r="AG557" s="48"/>
    </row>
    <row r="558" spans="1:33" s="47" customFormat="1" x14ac:dyDescent="0.2">
      <c r="A558" s="4" t="s">
        <v>100</v>
      </c>
      <c r="B558" s="236"/>
      <c r="C558" s="79">
        <f t="shared" ref="C558:AF558" si="401">(1/C245)*((EXP(C$241*C555)-1)/(EXP(C$242*C555)-1))</f>
        <v>4.8566443876203742E-2</v>
      </c>
      <c r="D558" s="79">
        <f t="shared" si="401"/>
        <v>1.7904274530493983E-2</v>
      </c>
      <c r="E558" s="79">
        <f t="shared" si="401"/>
        <v>4.3027607734326255E-2</v>
      </c>
      <c r="F558" s="79">
        <f t="shared" si="401"/>
        <v>4.8566443876203742E-2</v>
      </c>
      <c r="G558" s="79">
        <f t="shared" si="401"/>
        <v>3.0549242183423649E-2</v>
      </c>
      <c r="H558" s="79">
        <f t="shared" si="401"/>
        <v>4.8566443876203742E-2</v>
      </c>
      <c r="I558" s="79">
        <f t="shared" si="401"/>
        <v>4.5126363965465127E-2</v>
      </c>
      <c r="J558" s="79">
        <f t="shared" si="401"/>
        <v>5.5189840200854254E-2</v>
      </c>
      <c r="K558" s="79">
        <f t="shared" si="401"/>
        <v>4.7378736988328077E-2</v>
      </c>
      <c r="L558" s="79">
        <f t="shared" si="401"/>
        <v>4.7378736988328077E-2</v>
      </c>
      <c r="M558" s="79">
        <f t="shared" si="401"/>
        <v>4.7378736988328077E-2</v>
      </c>
      <c r="N558" s="79">
        <f t="shared" si="401"/>
        <v>4.7378736988328077E-2</v>
      </c>
      <c r="O558" s="79">
        <f t="shared" si="401"/>
        <v>4.7378736988328077E-2</v>
      </c>
      <c r="P558" s="79">
        <f t="shared" si="401"/>
        <v>4.7378736988328077E-2</v>
      </c>
      <c r="Q558" s="79">
        <f t="shared" si="401"/>
        <v>4.6232582075470624E-2</v>
      </c>
      <c r="R558" s="79">
        <f t="shared" si="401"/>
        <v>4.5126363965465127E-2</v>
      </c>
      <c r="S558" s="79">
        <f t="shared" si="401"/>
        <v>4.6232582075470624E-2</v>
      </c>
      <c r="T558" s="79">
        <f t="shared" si="401"/>
        <v>4.6232582075470624E-2</v>
      </c>
      <c r="U558" s="79">
        <f t="shared" si="401"/>
        <v>4.6232582075470624E-2</v>
      </c>
      <c r="V558" s="79">
        <f t="shared" si="401"/>
        <v>4.4058534110247981E-2</v>
      </c>
      <c r="W558" s="79">
        <f t="shared" si="401"/>
        <v>4.5126363965465127E-2</v>
      </c>
      <c r="X558" s="79">
        <f t="shared" si="401"/>
        <v>4.7378736988328077E-2</v>
      </c>
      <c r="Y558" s="79">
        <f t="shared" si="401"/>
        <v>4.7378736988328077E-2</v>
      </c>
      <c r="Z558" s="79">
        <f t="shared" si="401"/>
        <v>4.6232582075470624E-2</v>
      </c>
      <c r="AA558" s="79">
        <f t="shared" si="401"/>
        <v>0.17310478992592521</v>
      </c>
      <c r="AB558" s="79">
        <f t="shared" si="401"/>
        <v>0.17310478992592521</v>
      </c>
      <c r="AC558" s="79">
        <f t="shared" si="401"/>
        <v>0.17310478992592521</v>
      </c>
      <c r="AD558" s="79">
        <f t="shared" si="401"/>
        <v>0.17310478992592521</v>
      </c>
      <c r="AE558" s="79">
        <f t="shared" si="401"/>
        <v>0.17310478992592521</v>
      </c>
      <c r="AF558" s="79">
        <f t="shared" si="401"/>
        <v>0.17310478992592521</v>
      </c>
      <c r="AG558" s="215"/>
    </row>
    <row r="559" spans="1:33" s="214" customFormat="1" x14ac:dyDescent="0.2">
      <c r="A559" s="4" t="s">
        <v>97</v>
      </c>
      <c r="B559" s="62"/>
      <c r="C559" s="28">
        <f t="shared" ref="C559:AF559" si="402">IF(C$522&gt;C558,C555+((C556-C555)/2),C555-((C555-C557)/2))</f>
        <v>112304687.5</v>
      </c>
      <c r="D559" s="28">
        <f t="shared" si="402"/>
        <v>-3168945312.5</v>
      </c>
      <c r="E559" s="28">
        <f t="shared" si="402"/>
        <v>-180664062.5</v>
      </c>
      <c r="F559" s="28">
        <f t="shared" si="402"/>
        <v>141601562.5</v>
      </c>
      <c r="G559" s="28">
        <f t="shared" si="402"/>
        <v>-1088867187.5</v>
      </c>
      <c r="H559" s="28">
        <f t="shared" si="402"/>
        <v>112304687.5</v>
      </c>
      <c r="I559" s="28">
        <f t="shared" si="402"/>
        <v>-34179687.5</v>
      </c>
      <c r="J559" s="28">
        <f t="shared" si="402"/>
        <v>405273437.5</v>
      </c>
      <c r="K559" s="28">
        <f t="shared" si="402"/>
        <v>53710937.5</v>
      </c>
      <c r="L559" s="28">
        <f t="shared" si="402"/>
        <v>53710937.5</v>
      </c>
      <c r="M559" s="28">
        <f t="shared" si="402"/>
        <v>53710937.5</v>
      </c>
      <c r="N559" s="28">
        <f t="shared" si="402"/>
        <v>53710937.5</v>
      </c>
      <c r="O559" s="28">
        <f t="shared" si="402"/>
        <v>53710937.5</v>
      </c>
      <c r="P559" s="28">
        <f t="shared" si="402"/>
        <v>53710937.5</v>
      </c>
      <c r="Q559" s="28">
        <f t="shared" si="402"/>
        <v>24414062.5</v>
      </c>
      <c r="R559" s="28">
        <f t="shared" si="402"/>
        <v>-34179687.5</v>
      </c>
      <c r="S559" s="28">
        <f t="shared" si="402"/>
        <v>-4882812.5</v>
      </c>
      <c r="T559" s="28">
        <f t="shared" si="402"/>
        <v>-4882812.5</v>
      </c>
      <c r="U559" s="28">
        <f t="shared" si="402"/>
        <v>24414062.5</v>
      </c>
      <c r="V559" s="28">
        <f t="shared" si="402"/>
        <v>-92773437.5</v>
      </c>
      <c r="W559" s="28">
        <f t="shared" si="402"/>
        <v>-63476562.5</v>
      </c>
      <c r="X559" s="28">
        <f t="shared" si="402"/>
        <v>53710937.5</v>
      </c>
      <c r="Y559" s="28">
        <f t="shared" si="402"/>
        <v>53710937.5</v>
      </c>
      <c r="Z559" s="28">
        <f t="shared" si="402"/>
        <v>-4882812.5</v>
      </c>
      <c r="AA559" s="28">
        <f t="shared" si="402"/>
        <v>2583007812.5</v>
      </c>
      <c r="AB559" s="28">
        <f t="shared" si="402"/>
        <v>2583007812.5</v>
      </c>
      <c r="AC559" s="28">
        <f t="shared" si="402"/>
        <v>2583007812.5</v>
      </c>
      <c r="AD559" s="28">
        <f t="shared" si="402"/>
        <v>2583007812.5</v>
      </c>
      <c r="AE559" s="28">
        <f t="shared" si="402"/>
        <v>2583007812.5</v>
      </c>
      <c r="AF559" s="28">
        <f t="shared" si="402"/>
        <v>2583007812.5</v>
      </c>
      <c r="AG559" s="48"/>
    </row>
    <row r="560" spans="1:33" s="214" customFormat="1" x14ac:dyDescent="0.2">
      <c r="A560" s="4" t="s">
        <v>98</v>
      </c>
      <c r="B560" s="62"/>
      <c r="C560" s="28">
        <f>IF(C$522&lt;C558,C555,C556)</f>
        <v>126953125</v>
      </c>
      <c r="D560" s="28">
        <f t="shared" ref="D560:AF560" si="403">IF(D$522&lt;D558,D555,D556)</f>
        <v>-3154296875</v>
      </c>
      <c r="E560" s="28">
        <f t="shared" si="403"/>
        <v>-166015625</v>
      </c>
      <c r="F560" s="28">
        <f t="shared" si="403"/>
        <v>156250000</v>
      </c>
      <c r="G560" s="28">
        <f t="shared" si="403"/>
        <v>-1074218750</v>
      </c>
      <c r="H560" s="28">
        <f t="shared" si="403"/>
        <v>126953125</v>
      </c>
      <c r="I560" s="28">
        <f t="shared" si="403"/>
        <v>-19531250</v>
      </c>
      <c r="J560" s="28">
        <f t="shared" si="403"/>
        <v>419921875</v>
      </c>
      <c r="K560" s="28">
        <f t="shared" si="403"/>
        <v>68359375</v>
      </c>
      <c r="L560" s="28">
        <f t="shared" si="403"/>
        <v>68359375</v>
      </c>
      <c r="M560" s="28">
        <f t="shared" si="403"/>
        <v>68359375</v>
      </c>
      <c r="N560" s="28">
        <f t="shared" si="403"/>
        <v>68359375</v>
      </c>
      <c r="O560" s="28">
        <f t="shared" si="403"/>
        <v>68359375</v>
      </c>
      <c r="P560" s="28">
        <f t="shared" si="403"/>
        <v>68359375</v>
      </c>
      <c r="Q560" s="28">
        <f t="shared" si="403"/>
        <v>39062500</v>
      </c>
      <c r="R560" s="28">
        <f t="shared" si="403"/>
        <v>-19531250</v>
      </c>
      <c r="S560" s="28">
        <f t="shared" si="403"/>
        <v>9765625</v>
      </c>
      <c r="T560" s="28">
        <f t="shared" si="403"/>
        <v>9765625</v>
      </c>
      <c r="U560" s="28">
        <f t="shared" si="403"/>
        <v>39062500</v>
      </c>
      <c r="V560" s="28">
        <f t="shared" si="403"/>
        <v>-78125000</v>
      </c>
      <c r="W560" s="28">
        <f t="shared" si="403"/>
        <v>-48828125</v>
      </c>
      <c r="X560" s="28">
        <f t="shared" si="403"/>
        <v>68359375</v>
      </c>
      <c r="Y560" s="28">
        <f t="shared" si="403"/>
        <v>68359375</v>
      </c>
      <c r="Z560" s="28">
        <f t="shared" si="403"/>
        <v>9765625</v>
      </c>
      <c r="AA560" s="28">
        <f t="shared" si="403"/>
        <v>2587890625</v>
      </c>
      <c r="AB560" s="28">
        <f t="shared" si="403"/>
        <v>2587890625</v>
      </c>
      <c r="AC560" s="28">
        <f t="shared" si="403"/>
        <v>2587890625</v>
      </c>
      <c r="AD560" s="28">
        <f t="shared" si="403"/>
        <v>2587890625</v>
      </c>
      <c r="AE560" s="28">
        <f t="shared" si="403"/>
        <v>2587890625</v>
      </c>
      <c r="AF560" s="28">
        <f t="shared" si="403"/>
        <v>2587890625</v>
      </c>
      <c r="AG560" s="48"/>
    </row>
    <row r="561" spans="1:33" s="214" customFormat="1" x14ac:dyDescent="0.2">
      <c r="A561" s="4" t="s">
        <v>99</v>
      </c>
      <c r="B561" s="62"/>
      <c r="C561" s="28">
        <f>IF(C$522&gt;C558,C555,C557)</f>
        <v>97656250</v>
      </c>
      <c r="D561" s="28">
        <f t="shared" ref="D561:AF561" si="404">IF(D$522&gt;D558,D555,D557)</f>
        <v>-3183593750</v>
      </c>
      <c r="E561" s="28">
        <f t="shared" si="404"/>
        <v>-195312500</v>
      </c>
      <c r="F561" s="28">
        <f t="shared" si="404"/>
        <v>126953125</v>
      </c>
      <c r="G561" s="28">
        <f t="shared" si="404"/>
        <v>-1103515625</v>
      </c>
      <c r="H561" s="28">
        <f t="shared" si="404"/>
        <v>97656250</v>
      </c>
      <c r="I561" s="28">
        <f t="shared" si="404"/>
        <v>-48828125</v>
      </c>
      <c r="J561" s="28">
        <f t="shared" si="404"/>
        <v>390625000</v>
      </c>
      <c r="K561" s="28">
        <f t="shared" si="404"/>
        <v>39062500</v>
      </c>
      <c r="L561" s="28">
        <f t="shared" si="404"/>
        <v>39062500</v>
      </c>
      <c r="M561" s="28">
        <f t="shared" si="404"/>
        <v>39062500</v>
      </c>
      <c r="N561" s="28">
        <f t="shared" si="404"/>
        <v>39062500</v>
      </c>
      <c r="O561" s="28">
        <f t="shared" si="404"/>
        <v>39062500</v>
      </c>
      <c r="P561" s="28">
        <f t="shared" si="404"/>
        <v>39062500</v>
      </c>
      <c r="Q561" s="28">
        <f t="shared" si="404"/>
        <v>9765625</v>
      </c>
      <c r="R561" s="28">
        <f t="shared" si="404"/>
        <v>-48828125</v>
      </c>
      <c r="S561" s="28">
        <f t="shared" si="404"/>
        <v>-19531250</v>
      </c>
      <c r="T561" s="28">
        <f t="shared" si="404"/>
        <v>-19531250</v>
      </c>
      <c r="U561" s="28">
        <f t="shared" si="404"/>
        <v>9765625</v>
      </c>
      <c r="V561" s="28">
        <f t="shared" si="404"/>
        <v>-107421875</v>
      </c>
      <c r="W561" s="28">
        <f t="shared" si="404"/>
        <v>-78125000</v>
      </c>
      <c r="X561" s="28">
        <f t="shared" si="404"/>
        <v>39062500</v>
      </c>
      <c r="Y561" s="28">
        <f t="shared" si="404"/>
        <v>39062500</v>
      </c>
      <c r="Z561" s="28">
        <f t="shared" si="404"/>
        <v>-19531250</v>
      </c>
      <c r="AA561" s="28">
        <f t="shared" si="404"/>
        <v>2578125000</v>
      </c>
      <c r="AB561" s="28">
        <f t="shared" si="404"/>
        <v>2578125000</v>
      </c>
      <c r="AC561" s="28">
        <f t="shared" si="404"/>
        <v>2578125000</v>
      </c>
      <c r="AD561" s="28">
        <f t="shared" si="404"/>
        <v>2578125000</v>
      </c>
      <c r="AE561" s="28">
        <f t="shared" si="404"/>
        <v>2578125000</v>
      </c>
      <c r="AF561" s="28">
        <f t="shared" si="404"/>
        <v>2578125000</v>
      </c>
      <c r="AG561" s="48"/>
    </row>
    <row r="562" spans="1:33" s="47" customFormat="1" x14ac:dyDescent="0.2">
      <c r="A562" s="4" t="s">
        <v>100</v>
      </c>
      <c r="B562" s="236"/>
      <c r="C562" s="79">
        <f t="shared" ref="C562:AF562" si="405">(1/C245)*((EXP(C$241*C559)-1)/(EXP(C$242*C559)-1))</f>
        <v>4.8265530738630387E-2</v>
      </c>
      <c r="D562" s="79">
        <f t="shared" si="405"/>
        <v>1.7852093811569443E-2</v>
      </c>
      <c r="E562" s="79">
        <f t="shared" si="405"/>
        <v>4.2775474162073022E-2</v>
      </c>
      <c r="F562" s="79">
        <f t="shared" si="405"/>
        <v>4.887005895587309E-2</v>
      </c>
      <c r="G562" s="79">
        <f t="shared" si="405"/>
        <v>3.0697333624034023E-2</v>
      </c>
      <c r="H562" s="79">
        <f t="shared" si="405"/>
        <v>4.8265530738630387E-2</v>
      </c>
      <c r="I562" s="79">
        <f t="shared" si="405"/>
        <v>4.5399260215263339E-2</v>
      </c>
      <c r="J562" s="79">
        <f t="shared" si="405"/>
        <v>5.4829410572719887E-2</v>
      </c>
      <c r="K562" s="79">
        <f t="shared" si="405"/>
        <v>4.7088367021274773E-2</v>
      </c>
      <c r="L562" s="79">
        <f t="shared" si="405"/>
        <v>4.7088367021274773E-2</v>
      </c>
      <c r="M562" s="79">
        <f t="shared" si="405"/>
        <v>4.7088367021274773E-2</v>
      </c>
      <c r="N562" s="79">
        <f t="shared" si="405"/>
        <v>4.7088367021274773E-2</v>
      </c>
      <c r="O562" s="79">
        <f t="shared" si="405"/>
        <v>4.7088367021274773E-2</v>
      </c>
      <c r="P562" s="79">
        <f t="shared" si="405"/>
        <v>4.7088367021274773E-2</v>
      </c>
      <c r="Q562" s="79">
        <f t="shared" si="405"/>
        <v>4.6515314796816212E-2</v>
      </c>
      <c r="R562" s="79">
        <f t="shared" si="405"/>
        <v>4.5399260215263339E-2</v>
      </c>
      <c r="S562" s="79">
        <f t="shared" si="405"/>
        <v>4.5952345079076556E-2</v>
      </c>
      <c r="T562" s="79">
        <f t="shared" si="405"/>
        <v>4.5952345079076556E-2</v>
      </c>
      <c r="U562" s="79">
        <f t="shared" si="405"/>
        <v>4.6515314796816212E-2</v>
      </c>
      <c r="V562" s="79">
        <f t="shared" si="405"/>
        <v>4.4321974937631833E-2</v>
      </c>
      <c r="W562" s="79">
        <f t="shared" si="405"/>
        <v>4.4855866670281255E-2</v>
      </c>
      <c r="X562" s="79">
        <f t="shared" si="405"/>
        <v>4.7088367021274773E-2</v>
      </c>
      <c r="Y562" s="79">
        <f t="shared" si="405"/>
        <v>4.7088367021274773E-2</v>
      </c>
      <c r="Z562" s="79">
        <f t="shared" si="405"/>
        <v>4.5952345079076556E-2</v>
      </c>
      <c r="AA562" s="79">
        <f t="shared" si="405"/>
        <v>0.17259915968872663</v>
      </c>
      <c r="AB562" s="79">
        <f t="shared" si="405"/>
        <v>0.17259915968872663</v>
      </c>
      <c r="AC562" s="79">
        <f t="shared" si="405"/>
        <v>0.17259915968872663</v>
      </c>
      <c r="AD562" s="79">
        <f t="shared" si="405"/>
        <v>0.17259915968872663</v>
      </c>
      <c r="AE562" s="79">
        <f t="shared" si="405"/>
        <v>0.17259915968872663</v>
      </c>
      <c r="AF562" s="79">
        <f t="shared" si="405"/>
        <v>0.17259915968872663</v>
      </c>
      <c r="AG562" s="215"/>
    </row>
    <row r="563" spans="1:33" s="214" customFormat="1" x14ac:dyDescent="0.2">
      <c r="A563" s="4" t="s">
        <v>97</v>
      </c>
      <c r="B563" s="62"/>
      <c r="C563" s="28">
        <f t="shared" ref="C563:AF563" si="406">IF(C$522&gt;C562,C559+((C560-C559)/2),C559-((C559-C561)/2))</f>
        <v>119628906.25</v>
      </c>
      <c r="D563" s="28">
        <f t="shared" si="406"/>
        <v>-3176269531.25</v>
      </c>
      <c r="E563" s="28">
        <f t="shared" si="406"/>
        <v>-173339843.75</v>
      </c>
      <c r="F563" s="28">
        <f t="shared" si="406"/>
        <v>148925781.25</v>
      </c>
      <c r="G563" s="28">
        <f t="shared" si="406"/>
        <v>-1096191406.25</v>
      </c>
      <c r="H563" s="28">
        <f t="shared" si="406"/>
        <v>104980468.75</v>
      </c>
      <c r="I563" s="28">
        <f t="shared" si="406"/>
        <v>-41503906.25</v>
      </c>
      <c r="J563" s="28">
        <f t="shared" si="406"/>
        <v>412597656.25</v>
      </c>
      <c r="K563" s="28">
        <f t="shared" si="406"/>
        <v>61035156.25</v>
      </c>
      <c r="L563" s="28">
        <f t="shared" si="406"/>
        <v>61035156.25</v>
      </c>
      <c r="M563" s="28">
        <f t="shared" si="406"/>
        <v>61035156.25</v>
      </c>
      <c r="N563" s="28">
        <f t="shared" si="406"/>
        <v>46386718.75</v>
      </c>
      <c r="O563" s="28">
        <f t="shared" si="406"/>
        <v>46386718.75</v>
      </c>
      <c r="P563" s="28">
        <f t="shared" si="406"/>
        <v>46386718.75</v>
      </c>
      <c r="Q563" s="28">
        <f t="shared" si="406"/>
        <v>17089843.75</v>
      </c>
      <c r="R563" s="28">
        <f t="shared" si="406"/>
        <v>-26855468.75</v>
      </c>
      <c r="S563" s="28">
        <f t="shared" si="406"/>
        <v>-12207031.25</v>
      </c>
      <c r="T563" s="28">
        <f t="shared" si="406"/>
        <v>2441406.25</v>
      </c>
      <c r="U563" s="28">
        <f t="shared" si="406"/>
        <v>17089843.75</v>
      </c>
      <c r="V563" s="28">
        <f t="shared" si="406"/>
        <v>-85449218.75</v>
      </c>
      <c r="W563" s="28">
        <f t="shared" si="406"/>
        <v>-70800781.25</v>
      </c>
      <c r="X563" s="28">
        <f t="shared" si="406"/>
        <v>46386718.75</v>
      </c>
      <c r="Y563" s="28">
        <f t="shared" si="406"/>
        <v>46386718.75</v>
      </c>
      <c r="Z563" s="28">
        <f t="shared" si="406"/>
        <v>2441406.25</v>
      </c>
      <c r="AA563" s="28">
        <f t="shared" si="406"/>
        <v>2580566406.25</v>
      </c>
      <c r="AB563" s="28">
        <f t="shared" si="406"/>
        <v>2585449218.75</v>
      </c>
      <c r="AC563" s="28">
        <f t="shared" si="406"/>
        <v>2585449218.75</v>
      </c>
      <c r="AD563" s="28">
        <f t="shared" si="406"/>
        <v>2585449218.75</v>
      </c>
      <c r="AE563" s="28">
        <f t="shared" si="406"/>
        <v>2580566406.25</v>
      </c>
      <c r="AF563" s="28">
        <f t="shared" si="406"/>
        <v>2585449218.75</v>
      </c>
      <c r="AG563" s="48"/>
    </row>
    <row r="564" spans="1:33" s="214" customFormat="1" x14ac:dyDescent="0.2">
      <c r="A564" s="4" t="s">
        <v>98</v>
      </c>
      <c r="B564" s="62"/>
      <c r="C564" s="28">
        <f>IF(C$522&lt;C562,C559,C560)</f>
        <v>126953125</v>
      </c>
      <c r="D564" s="28">
        <f t="shared" ref="D564:AF564" si="407">IF(D$522&lt;D562,D559,D560)</f>
        <v>-3168945312.5</v>
      </c>
      <c r="E564" s="28">
        <f t="shared" si="407"/>
        <v>-166015625</v>
      </c>
      <c r="F564" s="28">
        <f t="shared" si="407"/>
        <v>156250000</v>
      </c>
      <c r="G564" s="28">
        <f t="shared" si="407"/>
        <v>-1088867187.5</v>
      </c>
      <c r="H564" s="28">
        <f t="shared" si="407"/>
        <v>112304687.5</v>
      </c>
      <c r="I564" s="28">
        <f t="shared" si="407"/>
        <v>-34179687.5</v>
      </c>
      <c r="J564" s="28">
        <f t="shared" si="407"/>
        <v>419921875</v>
      </c>
      <c r="K564" s="28">
        <f t="shared" si="407"/>
        <v>68359375</v>
      </c>
      <c r="L564" s="28">
        <f t="shared" si="407"/>
        <v>68359375</v>
      </c>
      <c r="M564" s="28">
        <f t="shared" si="407"/>
        <v>68359375</v>
      </c>
      <c r="N564" s="28">
        <f t="shared" si="407"/>
        <v>53710937.5</v>
      </c>
      <c r="O564" s="28">
        <f t="shared" si="407"/>
        <v>53710937.5</v>
      </c>
      <c r="P564" s="28">
        <f t="shared" si="407"/>
        <v>53710937.5</v>
      </c>
      <c r="Q564" s="28">
        <f t="shared" si="407"/>
        <v>24414062.5</v>
      </c>
      <c r="R564" s="28">
        <f t="shared" si="407"/>
        <v>-19531250</v>
      </c>
      <c r="S564" s="28">
        <f t="shared" si="407"/>
        <v>-4882812.5</v>
      </c>
      <c r="T564" s="28">
        <f t="shared" si="407"/>
        <v>9765625</v>
      </c>
      <c r="U564" s="28">
        <f t="shared" si="407"/>
        <v>24414062.5</v>
      </c>
      <c r="V564" s="28">
        <f t="shared" si="407"/>
        <v>-78125000</v>
      </c>
      <c r="W564" s="28">
        <f t="shared" si="407"/>
        <v>-63476562.5</v>
      </c>
      <c r="X564" s="28">
        <f t="shared" si="407"/>
        <v>53710937.5</v>
      </c>
      <c r="Y564" s="28">
        <f t="shared" si="407"/>
        <v>53710937.5</v>
      </c>
      <c r="Z564" s="28">
        <f t="shared" si="407"/>
        <v>9765625</v>
      </c>
      <c r="AA564" s="28">
        <f t="shared" si="407"/>
        <v>2583007812.5</v>
      </c>
      <c r="AB564" s="28">
        <f t="shared" si="407"/>
        <v>2587890625</v>
      </c>
      <c r="AC564" s="28">
        <f t="shared" si="407"/>
        <v>2587890625</v>
      </c>
      <c r="AD564" s="28">
        <f t="shared" si="407"/>
        <v>2587890625</v>
      </c>
      <c r="AE564" s="28">
        <f t="shared" si="407"/>
        <v>2583007812.5</v>
      </c>
      <c r="AF564" s="28">
        <f t="shared" si="407"/>
        <v>2587890625</v>
      </c>
      <c r="AG564" s="48"/>
    </row>
    <row r="565" spans="1:33" s="214" customFormat="1" x14ac:dyDescent="0.2">
      <c r="A565" s="4" t="s">
        <v>99</v>
      </c>
      <c r="B565" s="62"/>
      <c r="C565" s="28">
        <f>IF(C$522&gt;C562,C559,C561)</f>
        <v>112304687.5</v>
      </c>
      <c r="D565" s="28">
        <f t="shared" ref="D565:AF565" si="408">IF(D$522&gt;D562,D559,D561)</f>
        <v>-3183593750</v>
      </c>
      <c r="E565" s="28">
        <f t="shared" si="408"/>
        <v>-180664062.5</v>
      </c>
      <c r="F565" s="28">
        <f t="shared" si="408"/>
        <v>141601562.5</v>
      </c>
      <c r="G565" s="28">
        <f t="shared" si="408"/>
        <v>-1103515625</v>
      </c>
      <c r="H565" s="28">
        <f t="shared" si="408"/>
        <v>97656250</v>
      </c>
      <c r="I565" s="28">
        <f t="shared" si="408"/>
        <v>-48828125</v>
      </c>
      <c r="J565" s="28">
        <f t="shared" si="408"/>
        <v>405273437.5</v>
      </c>
      <c r="K565" s="28">
        <f t="shared" si="408"/>
        <v>53710937.5</v>
      </c>
      <c r="L565" s="28">
        <f t="shared" si="408"/>
        <v>53710937.5</v>
      </c>
      <c r="M565" s="28">
        <f t="shared" si="408"/>
        <v>53710937.5</v>
      </c>
      <c r="N565" s="28">
        <f t="shared" si="408"/>
        <v>39062500</v>
      </c>
      <c r="O565" s="28">
        <f t="shared" si="408"/>
        <v>39062500</v>
      </c>
      <c r="P565" s="28">
        <f t="shared" si="408"/>
        <v>39062500</v>
      </c>
      <c r="Q565" s="28">
        <f t="shared" si="408"/>
        <v>9765625</v>
      </c>
      <c r="R565" s="28">
        <f t="shared" si="408"/>
        <v>-34179687.5</v>
      </c>
      <c r="S565" s="28">
        <f t="shared" si="408"/>
        <v>-19531250</v>
      </c>
      <c r="T565" s="28">
        <f t="shared" si="408"/>
        <v>-4882812.5</v>
      </c>
      <c r="U565" s="28">
        <f t="shared" si="408"/>
        <v>9765625</v>
      </c>
      <c r="V565" s="28">
        <f t="shared" si="408"/>
        <v>-92773437.5</v>
      </c>
      <c r="W565" s="28">
        <f t="shared" si="408"/>
        <v>-78125000</v>
      </c>
      <c r="X565" s="28">
        <f t="shared" si="408"/>
        <v>39062500</v>
      </c>
      <c r="Y565" s="28">
        <f t="shared" si="408"/>
        <v>39062500</v>
      </c>
      <c r="Z565" s="28">
        <f t="shared" si="408"/>
        <v>-4882812.5</v>
      </c>
      <c r="AA565" s="28">
        <f t="shared" si="408"/>
        <v>2578125000</v>
      </c>
      <c r="AB565" s="28">
        <f t="shared" si="408"/>
        <v>2583007812.5</v>
      </c>
      <c r="AC565" s="28">
        <f t="shared" si="408"/>
        <v>2583007812.5</v>
      </c>
      <c r="AD565" s="28">
        <f t="shared" si="408"/>
        <v>2583007812.5</v>
      </c>
      <c r="AE565" s="28">
        <f t="shared" si="408"/>
        <v>2578125000</v>
      </c>
      <c r="AF565" s="28">
        <f t="shared" si="408"/>
        <v>2583007812.5</v>
      </c>
      <c r="AG565" s="48"/>
    </row>
    <row r="566" spans="1:33" s="47" customFormat="1" x14ac:dyDescent="0.2">
      <c r="A566" s="4" t="s">
        <v>100</v>
      </c>
      <c r="B566" s="236"/>
      <c r="C566" s="79">
        <f t="shared" ref="C566:AF566" si="409">(1/C245)*((EXP(C$241*C563)-1)/(EXP(C$242*C563)-1))</f>
        <v>4.8415651242472144E-2</v>
      </c>
      <c r="D566" s="79">
        <f t="shared" si="409"/>
        <v>1.7826133374325977E-2</v>
      </c>
      <c r="E566" s="79">
        <f t="shared" si="409"/>
        <v>4.2901265157743042E-2</v>
      </c>
      <c r="F566" s="79">
        <f t="shared" si="409"/>
        <v>4.9022888157552152E-2</v>
      </c>
      <c r="G566" s="79">
        <f t="shared" si="409"/>
        <v>3.062313733588945E-2</v>
      </c>
      <c r="H566" s="79">
        <f t="shared" si="409"/>
        <v>4.8116079031133532E-2</v>
      </c>
      <c r="I566" s="79">
        <f t="shared" si="409"/>
        <v>4.5262510738646775E-2</v>
      </c>
      <c r="J566" s="79">
        <f t="shared" si="409"/>
        <v>5.5009214867151351E-2</v>
      </c>
      <c r="K566" s="79">
        <f t="shared" si="409"/>
        <v>4.7233229030918006E-2</v>
      </c>
      <c r="L566" s="79">
        <f t="shared" si="409"/>
        <v>4.7233229030918006E-2</v>
      </c>
      <c r="M566" s="79">
        <f t="shared" si="409"/>
        <v>4.7233229030918006E-2</v>
      </c>
      <c r="N566" s="79">
        <f t="shared" si="409"/>
        <v>4.6944147763645999E-2</v>
      </c>
      <c r="O566" s="79">
        <f t="shared" si="409"/>
        <v>4.6944147763645999E-2</v>
      </c>
      <c r="P566" s="79">
        <f t="shared" si="409"/>
        <v>4.6944147763645999E-2</v>
      </c>
      <c r="Q566" s="79">
        <f t="shared" si="409"/>
        <v>4.6373634924408449E-2</v>
      </c>
      <c r="R566" s="79">
        <f t="shared" si="409"/>
        <v>4.5536615379637845E-2</v>
      </c>
      <c r="S566" s="79">
        <f t="shared" si="409"/>
        <v>4.5813154787709011E-2</v>
      </c>
      <c r="T566" s="79">
        <f t="shared" si="409"/>
        <v>4.6092153153717709E-2</v>
      </c>
      <c r="U566" s="79">
        <f t="shared" si="409"/>
        <v>4.6373634924408449E-2</v>
      </c>
      <c r="V566" s="79">
        <f t="shared" si="409"/>
        <v>4.4454567290525854E-2</v>
      </c>
      <c r="W566" s="79">
        <f t="shared" si="409"/>
        <v>4.4721510257543062E-2</v>
      </c>
      <c r="X566" s="79">
        <f t="shared" si="409"/>
        <v>4.6944147763645999E-2</v>
      </c>
      <c r="Y566" s="79">
        <f t="shared" si="409"/>
        <v>4.6944147763645999E-2</v>
      </c>
      <c r="Z566" s="79">
        <f t="shared" si="409"/>
        <v>4.6092153153717709E-2</v>
      </c>
      <c r="AA566" s="79">
        <f t="shared" si="409"/>
        <v>0.17234698826672679</v>
      </c>
      <c r="AB566" s="79">
        <f t="shared" si="409"/>
        <v>0.17285175998473098</v>
      </c>
      <c r="AC566" s="79">
        <f t="shared" si="409"/>
        <v>0.17285175998473098</v>
      </c>
      <c r="AD566" s="79">
        <f t="shared" si="409"/>
        <v>0.17285175998473098</v>
      </c>
      <c r="AE566" s="79">
        <f t="shared" si="409"/>
        <v>0.17234698826672679</v>
      </c>
      <c r="AF566" s="79">
        <f t="shared" si="409"/>
        <v>0.17285175998473098</v>
      </c>
      <c r="AG566" s="215"/>
    </row>
    <row r="567" spans="1:33" s="214" customFormat="1" x14ac:dyDescent="0.2">
      <c r="A567" s="4" t="s">
        <v>97</v>
      </c>
      <c r="B567" s="62"/>
      <c r="C567" s="28">
        <f t="shared" ref="C567:AF567" si="410">IF(C$522&gt;C566,C563+((C564-C563)/2),C563-((C563-C565)/2))</f>
        <v>115966796.875</v>
      </c>
      <c r="D567" s="28">
        <f t="shared" si="410"/>
        <v>-3172607421.875</v>
      </c>
      <c r="E567" s="28">
        <f t="shared" si="410"/>
        <v>-169677734.375</v>
      </c>
      <c r="F567" s="28">
        <f t="shared" si="410"/>
        <v>152587890.625</v>
      </c>
      <c r="G567" s="28">
        <f t="shared" si="410"/>
        <v>-1099853515.625</v>
      </c>
      <c r="H567" s="28">
        <f t="shared" si="410"/>
        <v>108642578.125</v>
      </c>
      <c r="I567" s="28">
        <f t="shared" si="410"/>
        <v>-45166015.625</v>
      </c>
      <c r="J567" s="28">
        <f t="shared" si="410"/>
        <v>416259765.625</v>
      </c>
      <c r="K567" s="28">
        <f t="shared" si="410"/>
        <v>57373046.875</v>
      </c>
      <c r="L567" s="28">
        <f t="shared" si="410"/>
        <v>57373046.875</v>
      </c>
      <c r="M567" s="28">
        <f t="shared" si="410"/>
        <v>57373046.875</v>
      </c>
      <c r="N567" s="28">
        <f t="shared" si="410"/>
        <v>50048828.125</v>
      </c>
      <c r="O567" s="28">
        <f t="shared" si="410"/>
        <v>50048828.125</v>
      </c>
      <c r="P567" s="28">
        <f t="shared" si="410"/>
        <v>42724609.375</v>
      </c>
      <c r="Q567" s="28">
        <f t="shared" si="410"/>
        <v>20751953.125</v>
      </c>
      <c r="R567" s="28">
        <f t="shared" si="410"/>
        <v>-30517578.125</v>
      </c>
      <c r="S567" s="28">
        <f t="shared" si="410"/>
        <v>-15869140.625</v>
      </c>
      <c r="T567" s="28">
        <f t="shared" si="410"/>
        <v>6103515.625</v>
      </c>
      <c r="U567" s="28">
        <f t="shared" si="410"/>
        <v>20751953.125</v>
      </c>
      <c r="V567" s="28">
        <f t="shared" si="410"/>
        <v>-89111328.125</v>
      </c>
      <c r="W567" s="28">
        <f t="shared" si="410"/>
        <v>-74462890.625</v>
      </c>
      <c r="X567" s="28">
        <f t="shared" si="410"/>
        <v>42724609.375</v>
      </c>
      <c r="Y567" s="28">
        <f t="shared" si="410"/>
        <v>42724609.375</v>
      </c>
      <c r="Z567" s="28">
        <f t="shared" si="410"/>
        <v>-1220703.125</v>
      </c>
      <c r="AA567" s="28">
        <f t="shared" si="410"/>
        <v>2581787109.375</v>
      </c>
      <c r="AB567" s="28">
        <f t="shared" si="410"/>
        <v>2584228515.625</v>
      </c>
      <c r="AC567" s="28">
        <f t="shared" si="410"/>
        <v>2584228515.625</v>
      </c>
      <c r="AD567" s="28">
        <f t="shared" si="410"/>
        <v>2584228515.625</v>
      </c>
      <c r="AE567" s="28">
        <f t="shared" si="410"/>
        <v>2581787109.375</v>
      </c>
      <c r="AF567" s="28">
        <f t="shared" si="410"/>
        <v>2584228515.625</v>
      </c>
      <c r="AG567" s="48"/>
    </row>
    <row r="568" spans="1:33" s="214" customFormat="1" x14ac:dyDescent="0.2">
      <c r="A568" s="4" t="s">
        <v>98</v>
      </c>
      <c r="B568" s="62"/>
      <c r="C568" s="28">
        <f>IF(C$522&lt;C566,C563,C564)</f>
        <v>119628906.25</v>
      </c>
      <c r="D568" s="28">
        <f t="shared" ref="D568:AF568" si="411">IF(D$522&lt;D566,D563,D564)</f>
        <v>-3168945312.5</v>
      </c>
      <c r="E568" s="28">
        <f t="shared" si="411"/>
        <v>-166015625</v>
      </c>
      <c r="F568" s="28">
        <f t="shared" si="411"/>
        <v>156250000</v>
      </c>
      <c r="G568" s="28">
        <f t="shared" si="411"/>
        <v>-1096191406.25</v>
      </c>
      <c r="H568" s="28">
        <f t="shared" si="411"/>
        <v>112304687.5</v>
      </c>
      <c r="I568" s="28">
        <f t="shared" si="411"/>
        <v>-41503906.25</v>
      </c>
      <c r="J568" s="28">
        <f t="shared" si="411"/>
        <v>419921875</v>
      </c>
      <c r="K568" s="28">
        <f t="shared" si="411"/>
        <v>61035156.25</v>
      </c>
      <c r="L568" s="28">
        <f t="shared" si="411"/>
        <v>61035156.25</v>
      </c>
      <c r="M568" s="28">
        <f t="shared" si="411"/>
        <v>61035156.25</v>
      </c>
      <c r="N568" s="28">
        <f t="shared" si="411"/>
        <v>53710937.5</v>
      </c>
      <c r="O568" s="28">
        <f t="shared" si="411"/>
        <v>53710937.5</v>
      </c>
      <c r="P568" s="28">
        <f t="shared" si="411"/>
        <v>46386718.75</v>
      </c>
      <c r="Q568" s="28">
        <f t="shared" si="411"/>
        <v>24414062.5</v>
      </c>
      <c r="R568" s="28">
        <f t="shared" si="411"/>
        <v>-26855468.75</v>
      </c>
      <c r="S568" s="28">
        <f t="shared" si="411"/>
        <v>-12207031.25</v>
      </c>
      <c r="T568" s="28">
        <f t="shared" si="411"/>
        <v>9765625</v>
      </c>
      <c r="U568" s="28">
        <f t="shared" si="411"/>
        <v>24414062.5</v>
      </c>
      <c r="V568" s="28">
        <f t="shared" si="411"/>
        <v>-85449218.75</v>
      </c>
      <c r="W568" s="28">
        <f t="shared" si="411"/>
        <v>-70800781.25</v>
      </c>
      <c r="X568" s="28">
        <f t="shared" si="411"/>
        <v>46386718.75</v>
      </c>
      <c r="Y568" s="28">
        <f t="shared" si="411"/>
        <v>46386718.75</v>
      </c>
      <c r="Z568" s="28">
        <f t="shared" si="411"/>
        <v>2441406.25</v>
      </c>
      <c r="AA568" s="28">
        <f t="shared" si="411"/>
        <v>2583007812.5</v>
      </c>
      <c r="AB568" s="28">
        <f t="shared" si="411"/>
        <v>2585449218.75</v>
      </c>
      <c r="AC568" s="28">
        <f t="shared" si="411"/>
        <v>2585449218.75</v>
      </c>
      <c r="AD568" s="28">
        <f t="shared" si="411"/>
        <v>2585449218.75</v>
      </c>
      <c r="AE568" s="28">
        <f t="shared" si="411"/>
        <v>2583007812.5</v>
      </c>
      <c r="AF568" s="28">
        <f t="shared" si="411"/>
        <v>2585449218.75</v>
      </c>
      <c r="AG568" s="48"/>
    </row>
    <row r="569" spans="1:33" s="214" customFormat="1" x14ac:dyDescent="0.2">
      <c r="A569" s="4" t="s">
        <v>99</v>
      </c>
      <c r="B569" s="62"/>
      <c r="C569" s="28">
        <f>IF(C$522&gt;C566,C563,C565)</f>
        <v>112304687.5</v>
      </c>
      <c r="D569" s="28">
        <f t="shared" ref="D569:AF569" si="412">IF(D$522&gt;D566,D563,D565)</f>
        <v>-3176269531.25</v>
      </c>
      <c r="E569" s="28">
        <f t="shared" si="412"/>
        <v>-173339843.75</v>
      </c>
      <c r="F569" s="28">
        <f t="shared" si="412"/>
        <v>148925781.25</v>
      </c>
      <c r="G569" s="28">
        <f t="shared" si="412"/>
        <v>-1103515625</v>
      </c>
      <c r="H569" s="28">
        <f t="shared" si="412"/>
        <v>104980468.75</v>
      </c>
      <c r="I569" s="28">
        <f t="shared" si="412"/>
        <v>-48828125</v>
      </c>
      <c r="J569" s="28">
        <f t="shared" si="412"/>
        <v>412597656.25</v>
      </c>
      <c r="K569" s="28">
        <f t="shared" si="412"/>
        <v>53710937.5</v>
      </c>
      <c r="L569" s="28">
        <f t="shared" si="412"/>
        <v>53710937.5</v>
      </c>
      <c r="M569" s="28">
        <f t="shared" si="412"/>
        <v>53710937.5</v>
      </c>
      <c r="N569" s="28">
        <f t="shared" si="412"/>
        <v>46386718.75</v>
      </c>
      <c r="O569" s="28">
        <f t="shared" si="412"/>
        <v>46386718.75</v>
      </c>
      <c r="P569" s="28">
        <f t="shared" si="412"/>
        <v>39062500</v>
      </c>
      <c r="Q569" s="28">
        <f t="shared" si="412"/>
        <v>17089843.75</v>
      </c>
      <c r="R569" s="28">
        <f t="shared" si="412"/>
        <v>-34179687.5</v>
      </c>
      <c r="S569" s="28">
        <f t="shared" si="412"/>
        <v>-19531250</v>
      </c>
      <c r="T569" s="28">
        <f t="shared" si="412"/>
        <v>2441406.25</v>
      </c>
      <c r="U569" s="28">
        <f t="shared" si="412"/>
        <v>17089843.75</v>
      </c>
      <c r="V569" s="28">
        <f t="shared" si="412"/>
        <v>-92773437.5</v>
      </c>
      <c r="W569" s="28">
        <f t="shared" si="412"/>
        <v>-78125000</v>
      </c>
      <c r="X569" s="28">
        <f t="shared" si="412"/>
        <v>39062500</v>
      </c>
      <c r="Y569" s="28">
        <f t="shared" si="412"/>
        <v>39062500</v>
      </c>
      <c r="Z569" s="28">
        <f t="shared" si="412"/>
        <v>-4882812.5</v>
      </c>
      <c r="AA569" s="28">
        <f t="shared" si="412"/>
        <v>2580566406.25</v>
      </c>
      <c r="AB569" s="28">
        <f t="shared" si="412"/>
        <v>2583007812.5</v>
      </c>
      <c r="AC569" s="28">
        <f t="shared" si="412"/>
        <v>2583007812.5</v>
      </c>
      <c r="AD569" s="28">
        <f t="shared" si="412"/>
        <v>2583007812.5</v>
      </c>
      <c r="AE569" s="28">
        <f t="shared" si="412"/>
        <v>2580566406.25</v>
      </c>
      <c r="AF569" s="28">
        <f t="shared" si="412"/>
        <v>2583007812.5</v>
      </c>
      <c r="AG569" s="48"/>
    </row>
    <row r="570" spans="1:33" s="47" customFormat="1" x14ac:dyDescent="0.2">
      <c r="A570" s="4" t="s">
        <v>100</v>
      </c>
      <c r="B570" s="236"/>
      <c r="C570" s="79">
        <f t="shared" ref="C570:AF570" si="413">(1/C245)*((EXP(C$241*C567)-1)/(EXP(C$242*C567)-1))</f>
        <v>4.8340507183074588E-2</v>
      </c>
      <c r="D570" s="79">
        <f t="shared" si="413"/>
        <v>1.7839102803095554E-2</v>
      </c>
      <c r="E570" s="79">
        <f t="shared" si="413"/>
        <v>4.2964367329047848E-2</v>
      </c>
      <c r="F570" s="79">
        <f t="shared" si="413"/>
        <v>4.9099559660479276E-2</v>
      </c>
      <c r="G570" s="79">
        <f t="shared" si="413"/>
        <v>3.0586152205947431E-2</v>
      </c>
      <c r="H570" s="79">
        <f t="shared" si="413"/>
        <v>4.8190721492998571E-2</v>
      </c>
      <c r="I570" s="79">
        <f t="shared" si="413"/>
        <v>4.519436220003447E-2</v>
      </c>
      <c r="J570" s="79">
        <f t="shared" si="413"/>
        <v>5.5099424645670116E-2</v>
      </c>
      <c r="K570" s="79">
        <f t="shared" si="413"/>
        <v>4.7160717482755209E-2</v>
      </c>
      <c r="L570" s="79">
        <f t="shared" si="413"/>
        <v>4.7160717482755209E-2</v>
      </c>
      <c r="M570" s="79">
        <f t="shared" si="413"/>
        <v>4.7160717482755209E-2</v>
      </c>
      <c r="N570" s="79">
        <f t="shared" si="413"/>
        <v>4.7016177247536692E-2</v>
      </c>
      <c r="O570" s="79">
        <f t="shared" si="413"/>
        <v>4.7016177247536692E-2</v>
      </c>
      <c r="P570" s="79">
        <f t="shared" si="413"/>
        <v>4.6872278172761149E-2</v>
      </c>
      <c r="Q570" s="79">
        <f t="shared" si="413"/>
        <v>4.6444396288520241E-2</v>
      </c>
      <c r="R570" s="79">
        <f t="shared" si="413"/>
        <v>4.5467861899347338E-2</v>
      </c>
      <c r="S570" s="79">
        <f t="shared" si="413"/>
        <v>4.5743790357693312E-2</v>
      </c>
      <c r="T570" s="79">
        <f t="shared" si="413"/>
        <v>4.6162289816576788E-2</v>
      </c>
      <c r="U570" s="79">
        <f t="shared" si="413"/>
        <v>4.6444396288520241E-2</v>
      </c>
      <c r="V570" s="79">
        <f t="shared" si="413"/>
        <v>4.438819815381996E-2</v>
      </c>
      <c r="W570" s="79">
        <f t="shared" si="413"/>
        <v>4.4654553828887118E-2</v>
      </c>
      <c r="X570" s="79">
        <f t="shared" si="413"/>
        <v>4.6872278172761149E-2</v>
      </c>
      <c r="Y570" s="79">
        <f t="shared" si="413"/>
        <v>4.6872278172761149E-2</v>
      </c>
      <c r="Z570" s="79">
        <f t="shared" si="413"/>
        <v>4.6022171702363834E-2</v>
      </c>
      <c r="AA570" s="79">
        <f t="shared" si="413"/>
        <v>0.17247302041661927</v>
      </c>
      <c r="AB570" s="79">
        <f t="shared" si="413"/>
        <v>0.1727254061793127</v>
      </c>
      <c r="AC570" s="79">
        <f t="shared" si="413"/>
        <v>0.1727254061793127</v>
      </c>
      <c r="AD570" s="79">
        <f t="shared" si="413"/>
        <v>0.1727254061793127</v>
      </c>
      <c r="AE570" s="79">
        <f t="shared" si="413"/>
        <v>0.17247302041661927</v>
      </c>
      <c r="AF570" s="79">
        <f t="shared" si="413"/>
        <v>0.1727254061793127</v>
      </c>
      <c r="AG570" s="215"/>
    </row>
    <row r="571" spans="1:33" s="214" customFormat="1" x14ac:dyDescent="0.2">
      <c r="A571" s="4" t="s">
        <v>97</v>
      </c>
      <c r="B571" s="62"/>
      <c r="C571" s="28">
        <f t="shared" ref="C571:AF571" si="414">IF(C$522&gt;C570,C567+((C568-C567)/2),C567-((C567-C569)/2))</f>
        <v>114135742.1875</v>
      </c>
      <c r="D571" s="28">
        <f t="shared" si="414"/>
        <v>-3174438476.5625</v>
      </c>
      <c r="E571" s="28">
        <f t="shared" si="414"/>
        <v>-167846679.6875</v>
      </c>
      <c r="F571" s="28">
        <f t="shared" si="414"/>
        <v>154418945.3125</v>
      </c>
      <c r="G571" s="28">
        <f t="shared" si="414"/>
        <v>-1098022460.9375</v>
      </c>
      <c r="H571" s="28">
        <f t="shared" si="414"/>
        <v>106811523.4375</v>
      </c>
      <c r="I571" s="28">
        <f t="shared" si="414"/>
        <v>-43334960.9375</v>
      </c>
      <c r="J571" s="28">
        <f t="shared" si="414"/>
        <v>414428710.9375</v>
      </c>
      <c r="K571" s="28">
        <f t="shared" si="414"/>
        <v>55541992.1875</v>
      </c>
      <c r="L571" s="28">
        <f t="shared" si="414"/>
        <v>55541992.1875</v>
      </c>
      <c r="M571" s="28">
        <f t="shared" si="414"/>
        <v>55541992.1875</v>
      </c>
      <c r="N571" s="28">
        <f t="shared" si="414"/>
        <v>51879882.8125</v>
      </c>
      <c r="O571" s="28">
        <f t="shared" si="414"/>
        <v>51879882.8125</v>
      </c>
      <c r="P571" s="28">
        <f t="shared" si="414"/>
        <v>44555664.0625</v>
      </c>
      <c r="Q571" s="28">
        <f t="shared" si="414"/>
        <v>18920898.4375</v>
      </c>
      <c r="R571" s="28">
        <f t="shared" si="414"/>
        <v>-32348632.8125</v>
      </c>
      <c r="S571" s="28">
        <f t="shared" si="414"/>
        <v>-14038085.9375</v>
      </c>
      <c r="T571" s="28">
        <f t="shared" si="414"/>
        <v>4272460.9375</v>
      </c>
      <c r="U571" s="28">
        <f t="shared" si="414"/>
        <v>22583007.8125</v>
      </c>
      <c r="V571" s="28">
        <f t="shared" si="414"/>
        <v>-87280273.4375</v>
      </c>
      <c r="W571" s="28">
        <f t="shared" si="414"/>
        <v>-76293945.3125</v>
      </c>
      <c r="X571" s="28">
        <f t="shared" si="414"/>
        <v>40893554.6875</v>
      </c>
      <c r="Y571" s="28">
        <f t="shared" si="414"/>
        <v>44555664.0625</v>
      </c>
      <c r="Z571" s="28">
        <f t="shared" si="414"/>
        <v>610351.5625</v>
      </c>
      <c r="AA571" s="28">
        <f t="shared" si="414"/>
        <v>2582397460.9375</v>
      </c>
      <c r="AB571" s="28">
        <f t="shared" si="414"/>
        <v>2583618164.0625</v>
      </c>
      <c r="AC571" s="28">
        <f t="shared" si="414"/>
        <v>2583618164.0625</v>
      </c>
      <c r="AD571" s="28">
        <f t="shared" si="414"/>
        <v>2583618164.0625</v>
      </c>
      <c r="AE571" s="28">
        <f t="shared" si="414"/>
        <v>2581176757.8125</v>
      </c>
      <c r="AF571" s="28">
        <f t="shared" si="414"/>
        <v>2583618164.0625</v>
      </c>
      <c r="AG571" s="48"/>
    </row>
    <row r="572" spans="1:33" s="214" customFormat="1" x14ac:dyDescent="0.2">
      <c r="A572" s="4" t="s">
        <v>98</v>
      </c>
      <c r="B572" s="62"/>
      <c r="C572" s="28">
        <f>IF(C$522&lt;C570,C567,C568)</f>
        <v>115966796.875</v>
      </c>
      <c r="D572" s="28">
        <f t="shared" ref="D572:AF572" si="415">IF(D$522&lt;D570,D567,D568)</f>
        <v>-3172607421.875</v>
      </c>
      <c r="E572" s="28">
        <f t="shared" si="415"/>
        <v>-166015625</v>
      </c>
      <c r="F572" s="28">
        <f t="shared" si="415"/>
        <v>156250000</v>
      </c>
      <c r="G572" s="28">
        <f t="shared" si="415"/>
        <v>-1096191406.25</v>
      </c>
      <c r="H572" s="28">
        <f t="shared" si="415"/>
        <v>108642578.125</v>
      </c>
      <c r="I572" s="28">
        <f t="shared" si="415"/>
        <v>-41503906.25</v>
      </c>
      <c r="J572" s="28">
        <f t="shared" si="415"/>
        <v>416259765.625</v>
      </c>
      <c r="K572" s="28">
        <f t="shared" si="415"/>
        <v>57373046.875</v>
      </c>
      <c r="L572" s="28">
        <f t="shared" si="415"/>
        <v>57373046.875</v>
      </c>
      <c r="M572" s="28">
        <f t="shared" si="415"/>
        <v>57373046.875</v>
      </c>
      <c r="N572" s="28">
        <f t="shared" si="415"/>
        <v>53710937.5</v>
      </c>
      <c r="O572" s="28">
        <f t="shared" si="415"/>
        <v>53710937.5</v>
      </c>
      <c r="P572" s="28">
        <f t="shared" si="415"/>
        <v>46386718.75</v>
      </c>
      <c r="Q572" s="28">
        <f t="shared" si="415"/>
        <v>20751953.125</v>
      </c>
      <c r="R572" s="28">
        <f t="shared" si="415"/>
        <v>-30517578.125</v>
      </c>
      <c r="S572" s="28">
        <f t="shared" si="415"/>
        <v>-12207031.25</v>
      </c>
      <c r="T572" s="28">
        <f t="shared" si="415"/>
        <v>6103515.625</v>
      </c>
      <c r="U572" s="28">
        <f t="shared" si="415"/>
        <v>24414062.5</v>
      </c>
      <c r="V572" s="28">
        <f t="shared" si="415"/>
        <v>-85449218.75</v>
      </c>
      <c r="W572" s="28">
        <f t="shared" si="415"/>
        <v>-74462890.625</v>
      </c>
      <c r="X572" s="28">
        <f t="shared" si="415"/>
        <v>42724609.375</v>
      </c>
      <c r="Y572" s="28">
        <f t="shared" si="415"/>
        <v>46386718.75</v>
      </c>
      <c r="Z572" s="28">
        <f t="shared" si="415"/>
        <v>2441406.25</v>
      </c>
      <c r="AA572" s="28">
        <f t="shared" si="415"/>
        <v>2583007812.5</v>
      </c>
      <c r="AB572" s="28">
        <f t="shared" si="415"/>
        <v>2584228515.625</v>
      </c>
      <c r="AC572" s="28">
        <f t="shared" si="415"/>
        <v>2584228515.625</v>
      </c>
      <c r="AD572" s="28">
        <f t="shared" si="415"/>
        <v>2584228515.625</v>
      </c>
      <c r="AE572" s="28">
        <f t="shared" si="415"/>
        <v>2581787109.375</v>
      </c>
      <c r="AF572" s="28">
        <f t="shared" si="415"/>
        <v>2584228515.625</v>
      </c>
      <c r="AG572" s="48"/>
    </row>
    <row r="573" spans="1:33" s="214" customFormat="1" x14ac:dyDescent="0.2">
      <c r="A573" s="4" t="s">
        <v>99</v>
      </c>
      <c r="B573" s="62"/>
      <c r="C573" s="28">
        <f>IF(C$522&gt;C570,C567,C569)</f>
        <v>112304687.5</v>
      </c>
      <c r="D573" s="28">
        <f t="shared" ref="D573:AF573" si="416">IF(D$522&gt;D570,D567,D569)</f>
        <v>-3176269531.25</v>
      </c>
      <c r="E573" s="28">
        <f t="shared" si="416"/>
        <v>-169677734.375</v>
      </c>
      <c r="F573" s="28">
        <f t="shared" si="416"/>
        <v>152587890.625</v>
      </c>
      <c r="G573" s="28">
        <f t="shared" si="416"/>
        <v>-1099853515.625</v>
      </c>
      <c r="H573" s="28">
        <f t="shared" si="416"/>
        <v>104980468.75</v>
      </c>
      <c r="I573" s="28">
        <f t="shared" si="416"/>
        <v>-45166015.625</v>
      </c>
      <c r="J573" s="28">
        <f t="shared" si="416"/>
        <v>412597656.25</v>
      </c>
      <c r="K573" s="28">
        <f t="shared" si="416"/>
        <v>53710937.5</v>
      </c>
      <c r="L573" s="28">
        <f t="shared" si="416"/>
        <v>53710937.5</v>
      </c>
      <c r="M573" s="28">
        <f t="shared" si="416"/>
        <v>53710937.5</v>
      </c>
      <c r="N573" s="28">
        <f t="shared" si="416"/>
        <v>50048828.125</v>
      </c>
      <c r="O573" s="28">
        <f t="shared" si="416"/>
        <v>50048828.125</v>
      </c>
      <c r="P573" s="28">
        <f t="shared" si="416"/>
        <v>42724609.375</v>
      </c>
      <c r="Q573" s="28">
        <f t="shared" si="416"/>
        <v>17089843.75</v>
      </c>
      <c r="R573" s="28">
        <f t="shared" si="416"/>
        <v>-34179687.5</v>
      </c>
      <c r="S573" s="28">
        <f t="shared" si="416"/>
        <v>-15869140.625</v>
      </c>
      <c r="T573" s="28">
        <f t="shared" si="416"/>
        <v>2441406.25</v>
      </c>
      <c r="U573" s="28">
        <f t="shared" si="416"/>
        <v>20751953.125</v>
      </c>
      <c r="V573" s="28">
        <f t="shared" si="416"/>
        <v>-89111328.125</v>
      </c>
      <c r="W573" s="28">
        <f t="shared" si="416"/>
        <v>-78125000</v>
      </c>
      <c r="X573" s="28">
        <f t="shared" si="416"/>
        <v>39062500</v>
      </c>
      <c r="Y573" s="28">
        <f t="shared" si="416"/>
        <v>42724609.375</v>
      </c>
      <c r="Z573" s="28">
        <f t="shared" si="416"/>
        <v>-1220703.125</v>
      </c>
      <c r="AA573" s="28">
        <f t="shared" si="416"/>
        <v>2581787109.375</v>
      </c>
      <c r="AB573" s="28">
        <f t="shared" si="416"/>
        <v>2583007812.5</v>
      </c>
      <c r="AC573" s="28">
        <f t="shared" si="416"/>
        <v>2583007812.5</v>
      </c>
      <c r="AD573" s="28">
        <f t="shared" si="416"/>
        <v>2583007812.5</v>
      </c>
      <c r="AE573" s="28">
        <f t="shared" si="416"/>
        <v>2580566406.25</v>
      </c>
      <c r="AF573" s="28">
        <f t="shared" si="416"/>
        <v>2583007812.5</v>
      </c>
      <c r="AG573" s="48"/>
    </row>
    <row r="574" spans="1:33" s="47" customFormat="1" x14ac:dyDescent="0.2">
      <c r="A574" s="4" t="s">
        <v>100</v>
      </c>
      <c r="B574" s="236"/>
      <c r="C574" s="79">
        <f t="shared" ref="C574:AF574" si="417">(1/C245)*((EXP(C$241*C571)-1)/(EXP(C$242*C571)-1))</f>
        <v>4.8302998035017829E-2</v>
      </c>
      <c r="D574" s="79">
        <f t="shared" si="417"/>
        <v>1.7832615394013811E-2</v>
      </c>
      <c r="E574" s="79">
        <f t="shared" si="417"/>
        <v>4.2995970231220267E-2</v>
      </c>
      <c r="F574" s="79">
        <f t="shared" si="417"/>
        <v>4.9137959824215684E-2</v>
      </c>
      <c r="G574" s="79">
        <f t="shared" si="417"/>
        <v>3.0604635371477347E-2</v>
      </c>
      <c r="H574" s="79">
        <f t="shared" si="417"/>
        <v>4.815337943999249E-2</v>
      </c>
      <c r="I574" s="79">
        <f t="shared" si="417"/>
        <v>4.5228417658135213E-2</v>
      </c>
      <c r="J574" s="79">
        <f t="shared" si="417"/>
        <v>5.5054294066684224E-2</v>
      </c>
      <c r="K574" s="79">
        <f t="shared" si="417"/>
        <v>4.7124522141138575E-2</v>
      </c>
      <c r="L574" s="79">
        <f t="shared" si="417"/>
        <v>4.7124522141138575E-2</v>
      </c>
      <c r="M574" s="79">
        <f t="shared" si="417"/>
        <v>4.7124522141138575E-2</v>
      </c>
      <c r="N574" s="79">
        <f t="shared" si="417"/>
        <v>4.7052252073330754E-2</v>
      </c>
      <c r="O574" s="79">
        <f t="shared" si="417"/>
        <v>4.7052252073330754E-2</v>
      </c>
      <c r="P574" s="79">
        <f t="shared" si="417"/>
        <v>4.6908193006340117E-2</v>
      </c>
      <c r="Q574" s="79">
        <f t="shared" si="417"/>
        <v>4.6408995987752055E-2</v>
      </c>
      <c r="R574" s="79">
        <f t="shared" si="417"/>
        <v>4.543354210620959E-2</v>
      </c>
      <c r="S574" s="79">
        <f t="shared" si="417"/>
        <v>4.5778453385990188E-2</v>
      </c>
      <c r="T574" s="79">
        <f t="shared" si="417"/>
        <v>4.6127202059696483E-2</v>
      </c>
      <c r="U574" s="79">
        <f t="shared" si="417"/>
        <v>4.6479835875320237E-2</v>
      </c>
      <c r="V574" s="79">
        <f t="shared" si="417"/>
        <v>4.4421364459627785E-2</v>
      </c>
      <c r="W574" s="79">
        <f t="shared" si="417"/>
        <v>4.4621130899649565E-2</v>
      </c>
      <c r="X574" s="79">
        <f t="shared" si="417"/>
        <v>4.683640321346861E-2</v>
      </c>
      <c r="Y574" s="79">
        <f t="shared" si="417"/>
        <v>4.6908193006340117E-2</v>
      </c>
      <c r="Z574" s="79">
        <f t="shared" si="417"/>
        <v>4.6057143050543224E-2</v>
      </c>
      <c r="AA574" s="79">
        <f t="shared" si="417"/>
        <v>0.17253607665638168</v>
      </c>
      <c r="AB574" s="79">
        <f t="shared" si="417"/>
        <v>0.17266226952568975</v>
      </c>
      <c r="AC574" s="79">
        <f t="shared" si="417"/>
        <v>0.17266226952568975</v>
      </c>
      <c r="AD574" s="79">
        <f t="shared" si="417"/>
        <v>0.17266226952568975</v>
      </c>
      <c r="AE574" s="79">
        <f t="shared" si="417"/>
        <v>0.17240999095740919</v>
      </c>
      <c r="AF574" s="79">
        <f t="shared" si="417"/>
        <v>0.17266226952568975</v>
      </c>
      <c r="AG574" s="215"/>
    </row>
    <row r="575" spans="1:33" s="214" customFormat="1" x14ac:dyDescent="0.2">
      <c r="A575" s="4" t="s">
        <v>97</v>
      </c>
      <c r="B575" s="62"/>
      <c r="C575" s="28">
        <f t="shared" ref="C575:AF575" si="418">IF(C$522&gt;C574,C571+((C572-C571)/2),C571-((C571-C573)/2))</f>
        <v>115051269.53125</v>
      </c>
      <c r="D575" s="28">
        <f t="shared" si="418"/>
        <v>-3173522949.21875</v>
      </c>
      <c r="E575" s="28">
        <f t="shared" si="418"/>
        <v>-166931152.34375</v>
      </c>
      <c r="F575" s="28">
        <f t="shared" si="418"/>
        <v>153503417.96875</v>
      </c>
      <c r="G575" s="28">
        <f t="shared" si="418"/>
        <v>-1098937988.28125</v>
      </c>
      <c r="H575" s="28">
        <f t="shared" si="418"/>
        <v>105895996.09375</v>
      </c>
      <c r="I575" s="28">
        <f t="shared" si="418"/>
        <v>-44250488.28125</v>
      </c>
      <c r="J575" s="28">
        <f t="shared" si="418"/>
        <v>413513183.59375</v>
      </c>
      <c r="K575" s="28">
        <f t="shared" si="418"/>
        <v>56457519.53125</v>
      </c>
      <c r="L575" s="28">
        <f t="shared" si="418"/>
        <v>56457519.53125</v>
      </c>
      <c r="M575" s="28">
        <f t="shared" si="418"/>
        <v>54626464.84375</v>
      </c>
      <c r="N575" s="28">
        <f t="shared" si="418"/>
        <v>52795410.15625</v>
      </c>
      <c r="O575" s="28">
        <f t="shared" si="418"/>
        <v>52795410.15625</v>
      </c>
      <c r="P575" s="28">
        <f t="shared" si="418"/>
        <v>43640136.71875</v>
      </c>
      <c r="Q575" s="28">
        <f t="shared" si="418"/>
        <v>18005371.09375</v>
      </c>
      <c r="R575" s="28">
        <f t="shared" si="418"/>
        <v>-31433105.46875</v>
      </c>
      <c r="S575" s="28">
        <f t="shared" si="418"/>
        <v>-13122558.59375</v>
      </c>
      <c r="T575" s="28">
        <f t="shared" si="418"/>
        <v>5187988.28125</v>
      </c>
      <c r="U575" s="28">
        <f t="shared" si="418"/>
        <v>21667480.46875</v>
      </c>
      <c r="V575" s="28">
        <f t="shared" si="418"/>
        <v>-86364746.09375</v>
      </c>
      <c r="W575" s="28">
        <f t="shared" si="418"/>
        <v>-75378417.96875</v>
      </c>
      <c r="X575" s="28">
        <f t="shared" si="418"/>
        <v>41809082.03125</v>
      </c>
      <c r="Y575" s="28">
        <f t="shared" si="418"/>
        <v>45471191.40625</v>
      </c>
      <c r="Z575" s="28">
        <f t="shared" si="418"/>
        <v>-305175.78125</v>
      </c>
      <c r="AA575" s="28">
        <f t="shared" si="418"/>
        <v>2582092285.15625</v>
      </c>
      <c r="AB575" s="28">
        <f t="shared" si="418"/>
        <v>2583312988.28125</v>
      </c>
      <c r="AC575" s="28">
        <f t="shared" si="418"/>
        <v>2583312988.28125</v>
      </c>
      <c r="AD575" s="28">
        <f t="shared" si="418"/>
        <v>2583923339.84375</v>
      </c>
      <c r="AE575" s="28">
        <f t="shared" si="418"/>
        <v>2581481933.59375</v>
      </c>
      <c r="AF575" s="28">
        <f t="shared" si="418"/>
        <v>2583923339.84375</v>
      </c>
      <c r="AG575" s="48"/>
    </row>
    <row r="576" spans="1:33" s="214" customFormat="1" x14ac:dyDescent="0.2">
      <c r="A576" s="4" t="s">
        <v>98</v>
      </c>
      <c r="B576" s="62"/>
      <c r="C576" s="28">
        <f>IF(C$522&lt;C574,C571,C572)</f>
        <v>115966796.875</v>
      </c>
      <c r="D576" s="28">
        <f t="shared" ref="D576:AF576" si="419">IF(D$522&lt;D574,D571,D572)</f>
        <v>-3172607421.875</v>
      </c>
      <c r="E576" s="28">
        <f t="shared" si="419"/>
        <v>-166015625</v>
      </c>
      <c r="F576" s="28">
        <f t="shared" si="419"/>
        <v>154418945.3125</v>
      </c>
      <c r="G576" s="28">
        <f t="shared" si="419"/>
        <v>-1098022460.9375</v>
      </c>
      <c r="H576" s="28">
        <f t="shared" si="419"/>
        <v>106811523.4375</v>
      </c>
      <c r="I576" s="28">
        <f t="shared" si="419"/>
        <v>-43334960.9375</v>
      </c>
      <c r="J576" s="28">
        <f t="shared" si="419"/>
        <v>414428710.9375</v>
      </c>
      <c r="K576" s="28">
        <f t="shared" si="419"/>
        <v>57373046.875</v>
      </c>
      <c r="L576" s="28">
        <f t="shared" si="419"/>
        <v>57373046.875</v>
      </c>
      <c r="M576" s="28">
        <f t="shared" si="419"/>
        <v>55541992.1875</v>
      </c>
      <c r="N576" s="28">
        <f t="shared" si="419"/>
        <v>53710937.5</v>
      </c>
      <c r="O576" s="28">
        <f t="shared" si="419"/>
        <v>53710937.5</v>
      </c>
      <c r="P576" s="28">
        <f t="shared" si="419"/>
        <v>44555664.0625</v>
      </c>
      <c r="Q576" s="28">
        <f t="shared" si="419"/>
        <v>18920898.4375</v>
      </c>
      <c r="R576" s="28">
        <f t="shared" si="419"/>
        <v>-30517578.125</v>
      </c>
      <c r="S576" s="28">
        <f t="shared" si="419"/>
        <v>-12207031.25</v>
      </c>
      <c r="T576" s="28">
        <f t="shared" si="419"/>
        <v>6103515.625</v>
      </c>
      <c r="U576" s="28">
        <f t="shared" si="419"/>
        <v>22583007.8125</v>
      </c>
      <c r="V576" s="28">
        <f t="shared" si="419"/>
        <v>-85449218.75</v>
      </c>
      <c r="W576" s="28">
        <f t="shared" si="419"/>
        <v>-74462890.625</v>
      </c>
      <c r="X576" s="28">
        <f t="shared" si="419"/>
        <v>42724609.375</v>
      </c>
      <c r="Y576" s="28">
        <f t="shared" si="419"/>
        <v>46386718.75</v>
      </c>
      <c r="Z576" s="28">
        <f t="shared" si="419"/>
        <v>610351.5625</v>
      </c>
      <c r="AA576" s="28">
        <f t="shared" si="419"/>
        <v>2582397460.9375</v>
      </c>
      <c r="AB576" s="28">
        <f t="shared" si="419"/>
        <v>2583618164.0625</v>
      </c>
      <c r="AC576" s="28">
        <f t="shared" si="419"/>
        <v>2583618164.0625</v>
      </c>
      <c r="AD576" s="28">
        <f t="shared" si="419"/>
        <v>2584228515.625</v>
      </c>
      <c r="AE576" s="28">
        <f t="shared" si="419"/>
        <v>2581787109.375</v>
      </c>
      <c r="AF576" s="28">
        <f t="shared" si="419"/>
        <v>2584228515.625</v>
      </c>
      <c r="AG576" s="48"/>
    </row>
    <row r="577" spans="1:33" s="214" customFormat="1" x14ac:dyDescent="0.2">
      <c r="A577" s="4" t="s">
        <v>99</v>
      </c>
      <c r="B577" s="62"/>
      <c r="C577" s="28">
        <f>IF(C$522&gt;C574,C571,C573)</f>
        <v>114135742.1875</v>
      </c>
      <c r="D577" s="28">
        <f t="shared" ref="D577:AF577" si="420">IF(D$522&gt;D574,D571,D573)</f>
        <v>-3174438476.5625</v>
      </c>
      <c r="E577" s="28">
        <f t="shared" si="420"/>
        <v>-167846679.6875</v>
      </c>
      <c r="F577" s="28">
        <f t="shared" si="420"/>
        <v>152587890.625</v>
      </c>
      <c r="G577" s="28">
        <f t="shared" si="420"/>
        <v>-1099853515.625</v>
      </c>
      <c r="H577" s="28">
        <f t="shared" si="420"/>
        <v>104980468.75</v>
      </c>
      <c r="I577" s="28">
        <f t="shared" si="420"/>
        <v>-45166015.625</v>
      </c>
      <c r="J577" s="28">
        <f t="shared" si="420"/>
        <v>412597656.25</v>
      </c>
      <c r="K577" s="28">
        <f t="shared" si="420"/>
        <v>55541992.1875</v>
      </c>
      <c r="L577" s="28">
        <f t="shared" si="420"/>
        <v>55541992.1875</v>
      </c>
      <c r="M577" s="28">
        <f t="shared" si="420"/>
        <v>53710937.5</v>
      </c>
      <c r="N577" s="28">
        <f t="shared" si="420"/>
        <v>51879882.8125</v>
      </c>
      <c r="O577" s="28">
        <f t="shared" si="420"/>
        <v>51879882.8125</v>
      </c>
      <c r="P577" s="28">
        <f t="shared" si="420"/>
        <v>42724609.375</v>
      </c>
      <c r="Q577" s="28">
        <f t="shared" si="420"/>
        <v>17089843.75</v>
      </c>
      <c r="R577" s="28">
        <f t="shared" si="420"/>
        <v>-32348632.8125</v>
      </c>
      <c r="S577" s="28">
        <f t="shared" si="420"/>
        <v>-14038085.9375</v>
      </c>
      <c r="T577" s="28">
        <f t="shared" si="420"/>
        <v>4272460.9375</v>
      </c>
      <c r="U577" s="28">
        <f t="shared" si="420"/>
        <v>20751953.125</v>
      </c>
      <c r="V577" s="28">
        <f t="shared" si="420"/>
        <v>-87280273.4375</v>
      </c>
      <c r="W577" s="28">
        <f t="shared" si="420"/>
        <v>-76293945.3125</v>
      </c>
      <c r="X577" s="28">
        <f t="shared" si="420"/>
        <v>40893554.6875</v>
      </c>
      <c r="Y577" s="28">
        <f t="shared" si="420"/>
        <v>44555664.0625</v>
      </c>
      <c r="Z577" s="28">
        <f t="shared" si="420"/>
        <v>-1220703.125</v>
      </c>
      <c r="AA577" s="28">
        <f t="shared" si="420"/>
        <v>2581787109.375</v>
      </c>
      <c r="AB577" s="28">
        <f t="shared" si="420"/>
        <v>2583007812.5</v>
      </c>
      <c r="AC577" s="28">
        <f t="shared" si="420"/>
        <v>2583007812.5</v>
      </c>
      <c r="AD577" s="28">
        <f t="shared" si="420"/>
        <v>2583618164.0625</v>
      </c>
      <c r="AE577" s="28">
        <f t="shared" si="420"/>
        <v>2581176757.8125</v>
      </c>
      <c r="AF577" s="28">
        <f t="shared" si="420"/>
        <v>2583618164.0625</v>
      </c>
      <c r="AG577" s="48"/>
    </row>
    <row r="578" spans="1:33" s="47" customFormat="1" x14ac:dyDescent="0.2">
      <c r="A578" s="4" t="s">
        <v>100</v>
      </c>
      <c r="B578" s="236"/>
      <c r="C578" s="79">
        <f t="shared" ref="C578:AF578" si="421">(1/C245)*((EXP(C$241*C575)-1)/(EXP(C$242*C575)-1))</f>
        <v>4.8321747374335915E-2</v>
      </c>
      <c r="D578" s="79">
        <f t="shared" si="421"/>
        <v>1.7835858424534935E-2</v>
      </c>
      <c r="E578" s="79">
        <f t="shared" si="421"/>
        <v>4.3011784655001072E-2</v>
      </c>
      <c r="F578" s="79">
        <f t="shared" si="421"/>
        <v>4.9118754369088247E-2</v>
      </c>
      <c r="G578" s="79">
        <f t="shared" si="421"/>
        <v>3.0595391440229942E-2</v>
      </c>
      <c r="H578" s="79">
        <f t="shared" si="421"/>
        <v>4.8134724033278016E-2</v>
      </c>
      <c r="I578" s="79">
        <f t="shared" si="421"/>
        <v>4.521138522918533E-2</v>
      </c>
      <c r="J578" s="79">
        <f t="shared" si="421"/>
        <v>5.5031748048526154E-2</v>
      </c>
      <c r="K578" s="79">
        <f t="shared" si="421"/>
        <v>4.7142614781110814E-2</v>
      </c>
      <c r="L578" s="79">
        <f t="shared" si="421"/>
        <v>4.7142614781110814E-2</v>
      </c>
      <c r="M578" s="79">
        <f t="shared" si="421"/>
        <v>4.7106439556604006E-2</v>
      </c>
      <c r="N578" s="79">
        <f t="shared" si="421"/>
        <v>4.7070304528925092E-2</v>
      </c>
      <c r="O578" s="79">
        <f t="shared" si="421"/>
        <v>4.7070304528925092E-2</v>
      </c>
      <c r="P578" s="79">
        <f t="shared" si="421"/>
        <v>4.6890230602177473E-2</v>
      </c>
      <c r="Q578" s="79">
        <f t="shared" si="421"/>
        <v>4.6391310554435856E-2</v>
      </c>
      <c r="R578" s="79">
        <f t="shared" si="421"/>
        <v>4.5450697262078101E-2</v>
      </c>
      <c r="S578" s="79">
        <f t="shared" si="421"/>
        <v>4.5795799287207305E-2</v>
      </c>
      <c r="T578" s="79">
        <f t="shared" si="421"/>
        <v>4.6144741078762534E-2</v>
      </c>
      <c r="U578" s="79">
        <f t="shared" si="421"/>
        <v>4.64621111681277E-2</v>
      </c>
      <c r="V578" s="79">
        <f t="shared" si="421"/>
        <v>4.443796130662718E-2</v>
      </c>
      <c r="W578" s="79">
        <f t="shared" si="421"/>
        <v>4.4637837761909424E-2</v>
      </c>
      <c r="X578" s="79">
        <f t="shared" si="421"/>
        <v>4.6854335711916599E-2</v>
      </c>
      <c r="Y578" s="79">
        <f t="shared" si="421"/>
        <v>4.6926165391435043E-2</v>
      </c>
      <c r="Z578" s="79">
        <f t="shared" si="421"/>
        <v>4.6039652535144179E-2</v>
      </c>
      <c r="AA578" s="79">
        <f t="shared" si="421"/>
        <v>0.17250454518817965</v>
      </c>
      <c r="AB578" s="79">
        <f t="shared" si="421"/>
        <v>0.17263071125587842</v>
      </c>
      <c r="AC578" s="79">
        <f t="shared" si="421"/>
        <v>0.17263071125587842</v>
      </c>
      <c r="AD578" s="79">
        <f t="shared" si="421"/>
        <v>0.17269383449966591</v>
      </c>
      <c r="AE578" s="79">
        <f t="shared" si="421"/>
        <v>0.17244150234019687</v>
      </c>
      <c r="AF578" s="79">
        <f t="shared" si="421"/>
        <v>0.17269383449966591</v>
      </c>
      <c r="AG578" s="215"/>
    </row>
    <row r="579" spans="1:33" s="214" customFormat="1" x14ac:dyDescent="0.2">
      <c r="A579" s="4" t="s">
        <v>97</v>
      </c>
      <c r="B579" s="62"/>
      <c r="C579" s="28">
        <f t="shared" ref="C579:AF579" si="422">IF(C$522&gt;C578,C575+((C576-C575)/2),C575-((C575-C577)/2))</f>
        <v>115509033.203125</v>
      </c>
      <c r="D579" s="28">
        <f t="shared" si="422"/>
        <v>-3173980712.890625</v>
      </c>
      <c r="E579" s="28">
        <f t="shared" si="422"/>
        <v>-166473388.671875</v>
      </c>
      <c r="F579" s="28">
        <f t="shared" si="422"/>
        <v>153961181.640625</v>
      </c>
      <c r="G579" s="28">
        <f t="shared" si="422"/>
        <v>-1099395751.953125</v>
      </c>
      <c r="H579" s="28">
        <f t="shared" si="422"/>
        <v>106353759.765625</v>
      </c>
      <c r="I579" s="28">
        <f t="shared" si="422"/>
        <v>-44708251.953125</v>
      </c>
      <c r="J579" s="28">
        <f t="shared" si="422"/>
        <v>413055419.921875</v>
      </c>
      <c r="K579" s="28">
        <f t="shared" si="422"/>
        <v>55999755.859375</v>
      </c>
      <c r="L579" s="28">
        <f t="shared" si="422"/>
        <v>55999755.859375</v>
      </c>
      <c r="M579" s="28">
        <f t="shared" si="422"/>
        <v>55084228.515625</v>
      </c>
      <c r="N579" s="28">
        <f t="shared" si="422"/>
        <v>53253173.828125</v>
      </c>
      <c r="O579" s="28">
        <f t="shared" si="422"/>
        <v>52337646.484375</v>
      </c>
      <c r="P579" s="28">
        <f t="shared" si="422"/>
        <v>44097900.390625</v>
      </c>
      <c r="Q579" s="28">
        <f t="shared" si="422"/>
        <v>18463134.765625</v>
      </c>
      <c r="R579" s="28">
        <f t="shared" si="422"/>
        <v>-31890869.140625</v>
      </c>
      <c r="S579" s="28">
        <f t="shared" si="422"/>
        <v>-13580322.265625</v>
      </c>
      <c r="T579" s="28">
        <f t="shared" si="422"/>
        <v>5645751.953125</v>
      </c>
      <c r="U579" s="28">
        <f t="shared" si="422"/>
        <v>22125244.140625</v>
      </c>
      <c r="V579" s="28">
        <f t="shared" si="422"/>
        <v>-86822509.765625</v>
      </c>
      <c r="W579" s="28">
        <f t="shared" si="422"/>
        <v>-74920654.296875</v>
      </c>
      <c r="X579" s="28">
        <f t="shared" si="422"/>
        <v>42266845.703125</v>
      </c>
      <c r="Y579" s="28">
        <f t="shared" si="422"/>
        <v>45013427.734375</v>
      </c>
      <c r="Z579" s="28">
        <f t="shared" si="422"/>
        <v>-762939.453125</v>
      </c>
      <c r="AA579" s="28">
        <f t="shared" si="422"/>
        <v>2581939697.265625</v>
      </c>
      <c r="AB579" s="28">
        <f t="shared" si="422"/>
        <v>2583465576.171875</v>
      </c>
      <c r="AC579" s="28">
        <f t="shared" si="422"/>
        <v>2583465576.171875</v>
      </c>
      <c r="AD579" s="28">
        <f t="shared" si="422"/>
        <v>2583770751.953125</v>
      </c>
      <c r="AE579" s="28">
        <f t="shared" si="422"/>
        <v>2581634521.484375</v>
      </c>
      <c r="AF579" s="28">
        <f t="shared" si="422"/>
        <v>2583770751.953125</v>
      </c>
      <c r="AG579" s="48"/>
    </row>
    <row r="580" spans="1:33" s="214" customFormat="1" x14ac:dyDescent="0.2">
      <c r="A580" s="4" t="s">
        <v>98</v>
      </c>
      <c r="B580" s="62"/>
      <c r="C580" s="28">
        <f>IF(C$522&lt;C578,C575,C576)</f>
        <v>115966796.875</v>
      </c>
      <c r="D580" s="28">
        <f t="shared" ref="D580:AF580" si="423">IF(D$522&lt;D578,D575,D576)</f>
        <v>-3173522949.21875</v>
      </c>
      <c r="E580" s="28">
        <f t="shared" si="423"/>
        <v>-166015625</v>
      </c>
      <c r="F580" s="28">
        <f t="shared" si="423"/>
        <v>154418945.3125</v>
      </c>
      <c r="G580" s="28">
        <f t="shared" si="423"/>
        <v>-1098937988.28125</v>
      </c>
      <c r="H580" s="28">
        <f t="shared" si="423"/>
        <v>106811523.4375</v>
      </c>
      <c r="I580" s="28">
        <f t="shared" si="423"/>
        <v>-44250488.28125</v>
      </c>
      <c r="J580" s="28">
        <f t="shared" si="423"/>
        <v>413513183.59375</v>
      </c>
      <c r="K580" s="28">
        <f t="shared" si="423"/>
        <v>56457519.53125</v>
      </c>
      <c r="L580" s="28">
        <f t="shared" si="423"/>
        <v>56457519.53125</v>
      </c>
      <c r="M580" s="28">
        <f t="shared" si="423"/>
        <v>55541992.1875</v>
      </c>
      <c r="N580" s="28">
        <f t="shared" si="423"/>
        <v>53710937.5</v>
      </c>
      <c r="O580" s="28">
        <f t="shared" si="423"/>
        <v>52795410.15625</v>
      </c>
      <c r="P580" s="28">
        <f t="shared" si="423"/>
        <v>44555664.0625</v>
      </c>
      <c r="Q580" s="28">
        <f t="shared" si="423"/>
        <v>18920898.4375</v>
      </c>
      <c r="R580" s="28">
        <f t="shared" si="423"/>
        <v>-31433105.46875</v>
      </c>
      <c r="S580" s="28">
        <f t="shared" si="423"/>
        <v>-13122558.59375</v>
      </c>
      <c r="T580" s="28">
        <f t="shared" si="423"/>
        <v>6103515.625</v>
      </c>
      <c r="U580" s="28">
        <f t="shared" si="423"/>
        <v>22583007.8125</v>
      </c>
      <c r="V580" s="28">
        <f t="shared" si="423"/>
        <v>-86364746.09375</v>
      </c>
      <c r="W580" s="28">
        <f t="shared" si="423"/>
        <v>-74462890.625</v>
      </c>
      <c r="X580" s="28">
        <f t="shared" si="423"/>
        <v>42724609.375</v>
      </c>
      <c r="Y580" s="28">
        <f t="shared" si="423"/>
        <v>45471191.40625</v>
      </c>
      <c r="Z580" s="28">
        <f t="shared" si="423"/>
        <v>-305175.78125</v>
      </c>
      <c r="AA580" s="28">
        <f t="shared" si="423"/>
        <v>2582092285.15625</v>
      </c>
      <c r="AB580" s="28">
        <f t="shared" si="423"/>
        <v>2583618164.0625</v>
      </c>
      <c r="AC580" s="28">
        <f t="shared" si="423"/>
        <v>2583618164.0625</v>
      </c>
      <c r="AD580" s="28">
        <f t="shared" si="423"/>
        <v>2583923339.84375</v>
      </c>
      <c r="AE580" s="28">
        <f t="shared" si="423"/>
        <v>2581787109.375</v>
      </c>
      <c r="AF580" s="28">
        <f t="shared" si="423"/>
        <v>2583923339.84375</v>
      </c>
      <c r="AG580" s="48"/>
    </row>
    <row r="581" spans="1:33" s="214" customFormat="1" x14ac:dyDescent="0.2">
      <c r="A581" s="4" t="s">
        <v>99</v>
      </c>
      <c r="B581" s="62"/>
      <c r="C581" s="28">
        <f>IF(C$522&gt;C578,C575,C577)</f>
        <v>115051269.53125</v>
      </c>
      <c r="D581" s="28">
        <f t="shared" ref="D581:AF581" si="424">IF(D$522&gt;D578,D575,D577)</f>
        <v>-3174438476.5625</v>
      </c>
      <c r="E581" s="28">
        <f t="shared" si="424"/>
        <v>-166931152.34375</v>
      </c>
      <c r="F581" s="28">
        <f t="shared" si="424"/>
        <v>153503417.96875</v>
      </c>
      <c r="G581" s="28">
        <f t="shared" si="424"/>
        <v>-1099853515.625</v>
      </c>
      <c r="H581" s="28">
        <f t="shared" si="424"/>
        <v>105895996.09375</v>
      </c>
      <c r="I581" s="28">
        <f t="shared" si="424"/>
        <v>-45166015.625</v>
      </c>
      <c r="J581" s="28">
        <f t="shared" si="424"/>
        <v>412597656.25</v>
      </c>
      <c r="K581" s="28">
        <f t="shared" si="424"/>
        <v>55541992.1875</v>
      </c>
      <c r="L581" s="28">
        <f t="shared" si="424"/>
        <v>55541992.1875</v>
      </c>
      <c r="M581" s="28">
        <f t="shared" si="424"/>
        <v>54626464.84375</v>
      </c>
      <c r="N581" s="28">
        <f t="shared" si="424"/>
        <v>52795410.15625</v>
      </c>
      <c r="O581" s="28">
        <f t="shared" si="424"/>
        <v>51879882.8125</v>
      </c>
      <c r="P581" s="28">
        <f t="shared" si="424"/>
        <v>43640136.71875</v>
      </c>
      <c r="Q581" s="28">
        <f t="shared" si="424"/>
        <v>18005371.09375</v>
      </c>
      <c r="R581" s="28">
        <f t="shared" si="424"/>
        <v>-32348632.8125</v>
      </c>
      <c r="S581" s="28">
        <f t="shared" si="424"/>
        <v>-14038085.9375</v>
      </c>
      <c r="T581" s="28">
        <f t="shared" si="424"/>
        <v>5187988.28125</v>
      </c>
      <c r="U581" s="28">
        <f t="shared" si="424"/>
        <v>21667480.46875</v>
      </c>
      <c r="V581" s="28">
        <f t="shared" si="424"/>
        <v>-87280273.4375</v>
      </c>
      <c r="W581" s="28">
        <f t="shared" si="424"/>
        <v>-75378417.96875</v>
      </c>
      <c r="X581" s="28">
        <f t="shared" si="424"/>
        <v>41809082.03125</v>
      </c>
      <c r="Y581" s="28">
        <f t="shared" si="424"/>
        <v>44555664.0625</v>
      </c>
      <c r="Z581" s="28">
        <f t="shared" si="424"/>
        <v>-1220703.125</v>
      </c>
      <c r="AA581" s="28">
        <f t="shared" si="424"/>
        <v>2581787109.375</v>
      </c>
      <c r="AB581" s="28">
        <f t="shared" si="424"/>
        <v>2583312988.28125</v>
      </c>
      <c r="AC581" s="28">
        <f t="shared" si="424"/>
        <v>2583312988.28125</v>
      </c>
      <c r="AD581" s="28">
        <f t="shared" si="424"/>
        <v>2583618164.0625</v>
      </c>
      <c r="AE581" s="28">
        <f t="shared" si="424"/>
        <v>2581481933.59375</v>
      </c>
      <c r="AF581" s="28">
        <f t="shared" si="424"/>
        <v>2583618164.0625</v>
      </c>
      <c r="AG581" s="48"/>
    </row>
    <row r="582" spans="1:33" s="47" customFormat="1" x14ac:dyDescent="0.2">
      <c r="A582" s="4" t="s">
        <v>100</v>
      </c>
      <c r="B582" s="236"/>
      <c r="C582" s="79">
        <f t="shared" ref="C582:AF582" si="425">(1/C245)*((EXP(C$241*C579)-1)/(EXP(C$242*C579)-1))</f>
        <v>4.8331125969620983E-2</v>
      </c>
      <c r="D582" s="79">
        <f t="shared" si="425"/>
        <v>1.7834236740812644E-2</v>
      </c>
      <c r="E582" s="79">
        <f t="shared" si="425"/>
        <v>4.3019695112388422E-2</v>
      </c>
      <c r="F582" s="79">
        <f t="shared" si="425"/>
        <v>4.912835575291892E-2</v>
      </c>
      <c r="G582" s="79">
        <f t="shared" si="425"/>
        <v>3.0590771236140207E-2</v>
      </c>
      <c r="H582" s="79">
        <f t="shared" si="425"/>
        <v>4.8144050435660356E-2</v>
      </c>
      <c r="I582" s="79">
        <f t="shared" si="425"/>
        <v>4.5202872539997468E-2</v>
      </c>
      <c r="J582" s="79">
        <f t="shared" si="425"/>
        <v>5.5020479853745453E-2</v>
      </c>
      <c r="K582" s="79">
        <f t="shared" si="425"/>
        <v>4.7133567203804412E-2</v>
      </c>
      <c r="L582" s="79">
        <f t="shared" si="425"/>
        <v>4.7133567203804412E-2</v>
      </c>
      <c r="M582" s="79">
        <f t="shared" si="425"/>
        <v>4.7115479592330922E-2</v>
      </c>
      <c r="N582" s="79">
        <f t="shared" si="425"/>
        <v>4.7079334520117408E-2</v>
      </c>
      <c r="O582" s="79">
        <f t="shared" si="425"/>
        <v>4.7061277046922402E-2</v>
      </c>
      <c r="P582" s="79">
        <f t="shared" si="425"/>
        <v>4.6899210557028885E-2</v>
      </c>
      <c r="Q582" s="79">
        <f t="shared" si="425"/>
        <v>4.6400152045304788E-2</v>
      </c>
      <c r="R582" s="79">
        <f t="shared" si="425"/>
        <v>4.5442118499334334E-2</v>
      </c>
      <c r="S582" s="79">
        <f t="shared" si="425"/>
        <v>4.5787125137057599E-2</v>
      </c>
      <c r="T582" s="79">
        <f t="shared" si="425"/>
        <v>4.6153514232458448E-2</v>
      </c>
      <c r="U582" s="79">
        <f t="shared" si="425"/>
        <v>4.6470972292896442E-2</v>
      </c>
      <c r="V582" s="79">
        <f t="shared" si="425"/>
        <v>4.4429661741366783E-2</v>
      </c>
      <c r="W582" s="79">
        <f t="shared" si="425"/>
        <v>4.4646194644454053E-2</v>
      </c>
      <c r="X582" s="79">
        <f t="shared" si="425"/>
        <v>4.6863305696653548E-2</v>
      </c>
      <c r="Y582" s="79">
        <f t="shared" si="425"/>
        <v>4.6917177950884847E-2</v>
      </c>
      <c r="Z582" s="79">
        <f t="shared" si="425"/>
        <v>4.6030910908769061E-2</v>
      </c>
      <c r="AA582" s="79">
        <f t="shared" si="425"/>
        <v>0.17248878196541326</v>
      </c>
      <c r="AB582" s="79">
        <f t="shared" si="425"/>
        <v>0.17264648955285761</v>
      </c>
      <c r="AC582" s="79">
        <f t="shared" si="425"/>
        <v>0.17264648955285761</v>
      </c>
      <c r="AD582" s="79">
        <f t="shared" si="425"/>
        <v>0.17267805117456314</v>
      </c>
      <c r="AE582" s="79">
        <f t="shared" si="425"/>
        <v>0.17245726054160981</v>
      </c>
      <c r="AF582" s="79">
        <f t="shared" si="425"/>
        <v>0.17267805117456314</v>
      </c>
      <c r="AG582" s="215"/>
    </row>
    <row r="583" spans="1:33" s="214" customFormat="1" x14ac:dyDescent="0.2">
      <c r="A583" s="4" t="s">
        <v>97</v>
      </c>
      <c r="B583" s="62"/>
      <c r="C583" s="28">
        <f t="shared" ref="C583:AF583" si="426">IF(C$522&gt;C582,C579+((C580-C579)/2),C579-((C579-C581)/2))</f>
        <v>115737915.0390625</v>
      </c>
      <c r="D583" s="28">
        <f t="shared" si="426"/>
        <v>-3174209594.7265625</v>
      </c>
      <c r="E583" s="28">
        <f t="shared" si="426"/>
        <v>-166702270.5078125</v>
      </c>
      <c r="F583" s="28">
        <f t="shared" si="426"/>
        <v>154190063.4765625</v>
      </c>
      <c r="G583" s="28">
        <f t="shared" si="426"/>
        <v>-1099166870.1171875</v>
      </c>
      <c r="H583" s="28">
        <f t="shared" si="426"/>
        <v>106582641.6015625</v>
      </c>
      <c r="I583" s="28">
        <f t="shared" si="426"/>
        <v>-44937133.7890625</v>
      </c>
      <c r="J583" s="28">
        <f t="shared" si="426"/>
        <v>412826538.0859375</v>
      </c>
      <c r="K583" s="28">
        <f t="shared" si="426"/>
        <v>55770874.0234375</v>
      </c>
      <c r="L583" s="28">
        <f t="shared" si="426"/>
        <v>56228637.6953125</v>
      </c>
      <c r="M583" s="28">
        <f t="shared" si="426"/>
        <v>55313110.3515625</v>
      </c>
      <c r="N583" s="28">
        <f t="shared" si="426"/>
        <v>53482055.6640625</v>
      </c>
      <c r="O583" s="28">
        <f t="shared" si="426"/>
        <v>52108764.6484375</v>
      </c>
      <c r="P583" s="28">
        <f t="shared" si="426"/>
        <v>44326782.2265625</v>
      </c>
      <c r="Q583" s="28">
        <f t="shared" si="426"/>
        <v>18234252.9296875</v>
      </c>
      <c r="R583" s="28">
        <f t="shared" si="426"/>
        <v>-31661987.3046875</v>
      </c>
      <c r="S583" s="28">
        <f t="shared" si="426"/>
        <v>-13809204.1015625</v>
      </c>
      <c r="T583" s="28">
        <f t="shared" si="426"/>
        <v>5416870.1171875</v>
      </c>
      <c r="U583" s="28">
        <f t="shared" si="426"/>
        <v>21896362.3046875</v>
      </c>
      <c r="V583" s="28">
        <f t="shared" si="426"/>
        <v>-86593627.9296875</v>
      </c>
      <c r="W583" s="28">
        <f t="shared" si="426"/>
        <v>-74691772.4609375</v>
      </c>
      <c r="X583" s="28">
        <f t="shared" si="426"/>
        <v>42037963.8671875</v>
      </c>
      <c r="Y583" s="28">
        <f t="shared" si="426"/>
        <v>44784545.8984375</v>
      </c>
      <c r="Z583" s="28">
        <f t="shared" si="426"/>
        <v>-534057.6171875</v>
      </c>
      <c r="AA583" s="28">
        <f t="shared" si="426"/>
        <v>2581863403.3203125</v>
      </c>
      <c r="AB583" s="28">
        <f t="shared" si="426"/>
        <v>2583389282.2265625</v>
      </c>
      <c r="AC583" s="28">
        <f t="shared" si="426"/>
        <v>2583541870.1171875</v>
      </c>
      <c r="AD583" s="28">
        <f t="shared" si="426"/>
        <v>2583847045.8984375</v>
      </c>
      <c r="AE583" s="28">
        <f t="shared" si="426"/>
        <v>2581710815.4296875</v>
      </c>
      <c r="AF583" s="28">
        <f t="shared" si="426"/>
        <v>2583847045.8984375</v>
      </c>
      <c r="AG583" s="48"/>
    </row>
    <row r="584" spans="1:33" s="214" customFormat="1" x14ac:dyDescent="0.2">
      <c r="A584" s="4" t="s">
        <v>98</v>
      </c>
      <c r="B584" s="62"/>
      <c r="C584" s="28">
        <f>IF(C$522&lt;C582,C579,C580)</f>
        <v>115966796.875</v>
      </c>
      <c r="D584" s="28">
        <f t="shared" ref="D584:AF584" si="427">IF(D$522&lt;D582,D579,D580)</f>
        <v>-3173980712.890625</v>
      </c>
      <c r="E584" s="28">
        <f t="shared" si="427"/>
        <v>-166473388.671875</v>
      </c>
      <c r="F584" s="28">
        <f t="shared" si="427"/>
        <v>154418945.3125</v>
      </c>
      <c r="G584" s="28">
        <f t="shared" si="427"/>
        <v>-1098937988.28125</v>
      </c>
      <c r="H584" s="28">
        <f t="shared" si="427"/>
        <v>106811523.4375</v>
      </c>
      <c r="I584" s="28">
        <f t="shared" si="427"/>
        <v>-44708251.953125</v>
      </c>
      <c r="J584" s="28">
        <f t="shared" si="427"/>
        <v>413055419.921875</v>
      </c>
      <c r="K584" s="28">
        <f t="shared" si="427"/>
        <v>55999755.859375</v>
      </c>
      <c r="L584" s="28">
        <f t="shared" si="427"/>
        <v>56457519.53125</v>
      </c>
      <c r="M584" s="28">
        <f t="shared" si="427"/>
        <v>55541992.1875</v>
      </c>
      <c r="N584" s="28">
        <f t="shared" si="427"/>
        <v>53710937.5</v>
      </c>
      <c r="O584" s="28">
        <f t="shared" si="427"/>
        <v>52337646.484375</v>
      </c>
      <c r="P584" s="28">
        <f t="shared" si="427"/>
        <v>44555664.0625</v>
      </c>
      <c r="Q584" s="28">
        <f t="shared" si="427"/>
        <v>18463134.765625</v>
      </c>
      <c r="R584" s="28">
        <f t="shared" si="427"/>
        <v>-31433105.46875</v>
      </c>
      <c r="S584" s="28">
        <f t="shared" si="427"/>
        <v>-13580322.265625</v>
      </c>
      <c r="T584" s="28">
        <f t="shared" si="427"/>
        <v>5645751.953125</v>
      </c>
      <c r="U584" s="28">
        <f t="shared" si="427"/>
        <v>22125244.140625</v>
      </c>
      <c r="V584" s="28">
        <f t="shared" si="427"/>
        <v>-86364746.09375</v>
      </c>
      <c r="W584" s="28">
        <f t="shared" si="427"/>
        <v>-74462890.625</v>
      </c>
      <c r="X584" s="28">
        <f t="shared" si="427"/>
        <v>42266845.703125</v>
      </c>
      <c r="Y584" s="28">
        <f t="shared" si="427"/>
        <v>45013427.734375</v>
      </c>
      <c r="Z584" s="28">
        <f t="shared" si="427"/>
        <v>-305175.78125</v>
      </c>
      <c r="AA584" s="28">
        <f t="shared" si="427"/>
        <v>2581939697.265625</v>
      </c>
      <c r="AB584" s="28">
        <f t="shared" si="427"/>
        <v>2583465576.171875</v>
      </c>
      <c r="AC584" s="28">
        <f t="shared" si="427"/>
        <v>2583618164.0625</v>
      </c>
      <c r="AD584" s="28">
        <f t="shared" si="427"/>
        <v>2583923339.84375</v>
      </c>
      <c r="AE584" s="28">
        <f t="shared" si="427"/>
        <v>2581787109.375</v>
      </c>
      <c r="AF584" s="28">
        <f t="shared" si="427"/>
        <v>2583923339.84375</v>
      </c>
      <c r="AG584" s="48"/>
    </row>
    <row r="585" spans="1:33" s="214" customFormat="1" x14ac:dyDescent="0.2">
      <c r="A585" s="4" t="s">
        <v>99</v>
      </c>
      <c r="B585" s="62"/>
      <c r="C585" s="28">
        <f>IF(C$522&gt;C582,C579,C581)</f>
        <v>115509033.203125</v>
      </c>
      <c r="D585" s="28">
        <f t="shared" ref="D585:AF585" si="428">IF(D$522&gt;D582,D579,D581)</f>
        <v>-3174438476.5625</v>
      </c>
      <c r="E585" s="28">
        <f t="shared" si="428"/>
        <v>-166931152.34375</v>
      </c>
      <c r="F585" s="28">
        <f t="shared" si="428"/>
        <v>153961181.640625</v>
      </c>
      <c r="G585" s="28">
        <f t="shared" si="428"/>
        <v>-1099395751.953125</v>
      </c>
      <c r="H585" s="28">
        <f t="shared" si="428"/>
        <v>106353759.765625</v>
      </c>
      <c r="I585" s="28">
        <f t="shared" si="428"/>
        <v>-45166015.625</v>
      </c>
      <c r="J585" s="28">
        <f t="shared" si="428"/>
        <v>412597656.25</v>
      </c>
      <c r="K585" s="28">
        <f t="shared" si="428"/>
        <v>55541992.1875</v>
      </c>
      <c r="L585" s="28">
        <f t="shared" si="428"/>
        <v>55999755.859375</v>
      </c>
      <c r="M585" s="28">
        <f t="shared" si="428"/>
        <v>55084228.515625</v>
      </c>
      <c r="N585" s="28">
        <f t="shared" si="428"/>
        <v>53253173.828125</v>
      </c>
      <c r="O585" s="28">
        <f t="shared" si="428"/>
        <v>51879882.8125</v>
      </c>
      <c r="P585" s="28">
        <f t="shared" si="428"/>
        <v>44097900.390625</v>
      </c>
      <c r="Q585" s="28">
        <f t="shared" si="428"/>
        <v>18005371.09375</v>
      </c>
      <c r="R585" s="28">
        <f t="shared" si="428"/>
        <v>-31890869.140625</v>
      </c>
      <c r="S585" s="28">
        <f t="shared" si="428"/>
        <v>-14038085.9375</v>
      </c>
      <c r="T585" s="28">
        <f t="shared" si="428"/>
        <v>5187988.28125</v>
      </c>
      <c r="U585" s="28">
        <f t="shared" si="428"/>
        <v>21667480.46875</v>
      </c>
      <c r="V585" s="28">
        <f t="shared" si="428"/>
        <v>-86822509.765625</v>
      </c>
      <c r="W585" s="28">
        <f t="shared" si="428"/>
        <v>-74920654.296875</v>
      </c>
      <c r="X585" s="28">
        <f t="shared" si="428"/>
        <v>41809082.03125</v>
      </c>
      <c r="Y585" s="28">
        <f t="shared" si="428"/>
        <v>44555664.0625</v>
      </c>
      <c r="Z585" s="28">
        <f t="shared" si="428"/>
        <v>-762939.453125</v>
      </c>
      <c r="AA585" s="28">
        <f t="shared" si="428"/>
        <v>2581787109.375</v>
      </c>
      <c r="AB585" s="28">
        <f t="shared" si="428"/>
        <v>2583312988.28125</v>
      </c>
      <c r="AC585" s="28">
        <f t="shared" si="428"/>
        <v>2583465576.171875</v>
      </c>
      <c r="AD585" s="28">
        <f t="shared" si="428"/>
        <v>2583770751.953125</v>
      </c>
      <c r="AE585" s="28">
        <f t="shared" si="428"/>
        <v>2581634521.484375</v>
      </c>
      <c r="AF585" s="28">
        <f t="shared" si="428"/>
        <v>2583770751.953125</v>
      </c>
      <c r="AG585" s="48"/>
    </row>
    <row r="586" spans="1:33" s="47" customFormat="1" x14ac:dyDescent="0.2">
      <c r="A586" s="4" t="s">
        <v>100</v>
      </c>
      <c r="B586" s="236"/>
      <c r="C586" s="79">
        <f t="shared" ref="C586:AF586" si="429">(1/C245)*((EXP(C$241*C583)-1)/(EXP(C$242*C583)-1))</f>
        <v>4.8335816249025783E-2</v>
      </c>
      <c r="D586" s="79">
        <f t="shared" si="429"/>
        <v>1.783342602530319E-2</v>
      </c>
      <c r="E586" s="79">
        <f t="shared" si="429"/>
        <v>4.3015739613167368E-2</v>
      </c>
      <c r="F586" s="79">
        <f t="shared" si="429"/>
        <v>4.9133157452581622E-2</v>
      </c>
      <c r="G586" s="79">
        <f t="shared" si="429"/>
        <v>3.0593081191426452E-2</v>
      </c>
      <c r="H586" s="79">
        <f t="shared" si="429"/>
        <v>4.8148714612532048E-2</v>
      </c>
      <c r="I586" s="79">
        <f t="shared" si="429"/>
        <v>4.5198617076407967E-2</v>
      </c>
      <c r="J586" s="79">
        <f t="shared" si="429"/>
        <v>5.5014846959488148E-2</v>
      </c>
      <c r="K586" s="79">
        <f t="shared" si="429"/>
        <v>4.7129044358190417E-2</v>
      </c>
      <c r="L586" s="79">
        <f t="shared" si="429"/>
        <v>4.7138090678078698E-2</v>
      </c>
      <c r="M586" s="79">
        <f t="shared" si="429"/>
        <v>4.7120000552551472E-2</v>
      </c>
      <c r="N586" s="79">
        <f t="shared" si="429"/>
        <v>4.7083850456901534E-2</v>
      </c>
      <c r="O586" s="79">
        <f t="shared" si="429"/>
        <v>4.7056764246623313E-2</v>
      </c>
      <c r="P586" s="79">
        <f t="shared" si="429"/>
        <v>4.6903701469829008E-2</v>
      </c>
      <c r="Q586" s="79">
        <f t="shared" si="429"/>
        <v>4.6395730993469532E-2</v>
      </c>
      <c r="R586" s="79">
        <f t="shared" si="429"/>
        <v>4.5446407584458552E-2</v>
      </c>
      <c r="S586" s="79">
        <f t="shared" si="429"/>
        <v>4.5782788961685139E-2</v>
      </c>
      <c r="T586" s="79">
        <f t="shared" si="429"/>
        <v>4.6149127351852656E-2</v>
      </c>
      <c r="U586" s="79">
        <f t="shared" si="429"/>
        <v>4.6466541423351972E-2</v>
      </c>
      <c r="V586" s="79">
        <f t="shared" si="429"/>
        <v>4.4433811238513074E-2</v>
      </c>
      <c r="W586" s="79">
        <f t="shared" si="429"/>
        <v>4.4650373948890022E-2</v>
      </c>
      <c r="X586" s="79">
        <f t="shared" si="429"/>
        <v>4.6858820392911671E-2</v>
      </c>
      <c r="Y586" s="79">
        <f t="shared" si="429"/>
        <v>4.691268516666041E-2</v>
      </c>
      <c r="Z586" s="79">
        <f t="shared" si="429"/>
        <v>4.6035281419398534E-2</v>
      </c>
      <c r="AA586" s="79">
        <f t="shared" si="429"/>
        <v>0.17248090098178151</v>
      </c>
      <c r="AB586" s="79">
        <f t="shared" si="429"/>
        <v>0.17263860019489813</v>
      </c>
      <c r="AC586" s="79">
        <f t="shared" si="429"/>
        <v>0.17265437932978031</v>
      </c>
      <c r="AD586" s="79">
        <f t="shared" si="429"/>
        <v>0.17268594262757417</v>
      </c>
      <c r="AE586" s="79">
        <f t="shared" si="429"/>
        <v>0.1724651402699032</v>
      </c>
      <c r="AF586" s="79">
        <f t="shared" si="429"/>
        <v>0.17268594262757417</v>
      </c>
      <c r="AG586" s="215"/>
    </row>
    <row r="587" spans="1:33" s="214" customFormat="1" x14ac:dyDescent="0.2">
      <c r="A587" s="4" t="s">
        <v>97</v>
      </c>
      <c r="B587" s="62"/>
      <c r="C587" s="28">
        <f t="shared" ref="C587:AF587" si="430">IF(C$522&gt;C586,C583+((C584-C583)/2),C583-((C583-C585)/2))</f>
        <v>115623474.12109375</v>
      </c>
      <c r="D587" s="28">
        <f t="shared" si="430"/>
        <v>-3174324035.6445312</v>
      </c>
      <c r="E587" s="28">
        <f t="shared" si="430"/>
        <v>-166816711.42578125</v>
      </c>
      <c r="F587" s="28">
        <f t="shared" si="430"/>
        <v>154075622.55859375</v>
      </c>
      <c r="G587" s="28">
        <f t="shared" si="430"/>
        <v>-1099052429.1992188</v>
      </c>
      <c r="H587" s="28">
        <f t="shared" si="430"/>
        <v>106468200.68359375</v>
      </c>
      <c r="I587" s="28">
        <f t="shared" si="430"/>
        <v>-44822692.87109375</v>
      </c>
      <c r="J587" s="28">
        <f t="shared" si="430"/>
        <v>412712097.16796875</v>
      </c>
      <c r="K587" s="28">
        <f t="shared" si="430"/>
        <v>55885314.94140625</v>
      </c>
      <c r="L587" s="28">
        <f t="shared" si="430"/>
        <v>56343078.61328125</v>
      </c>
      <c r="M587" s="28">
        <f t="shared" si="430"/>
        <v>55427551.26953125</v>
      </c>
      <c r="N587" s="28">
        <f t="shared" si="430"/>
        <v>53596496.58203125</v>
      </c>
      <c r="O587" s="28">
        <f t="shared" si="430"/>
        <v>52223205.56640625</v>
      </c>
      <c r="P587" s="28">
        <f t="shared" si="430"/>
        <v>44441223.14453125</v>
      </c>
      <c r="Q587" s="28">
        <f t="shared" si="430"/>
        <v>18348693.84765625</v>
      </c>
      <c r="R587" s="28">
        <f t="shared" si="430"/>
        <v>-31776428.22265625</v>
      </c>
      <c r="S587" s="28">
        <f t="shared" si="430"/>
        <v>-13923645.01953125</v>
      </c>
      <c r="T587" s="28">
        <f t="shared" si="430"/>
        <v>5531311.03515625</v>
      </c>
      <c r="U587" s="28">
        <f t="shared" si="430"/>
        <v>22010803.22265625</v>
      </c>
      <c r="V587" s="28">
        <f t="shared" si="430"/>
        <v>-86479187.01171875</v>
      </c>
      <c r="W587" s="28">
        <f t="shared" si="430"/>
        <v>-74806213.37890625</v>
      </c>
      <c r="X587" s="28">
        <f t="shared" si="430"/>
        <v>41923522.94921875</v>
      </c>
      <c r="Y587" s="28">
        <f t="shared" si="430"/>
        <v>44670104.98046875</v>
      </c>
      <c r="Z587" s="28">
        <f t="shared" si="430"/>
        <v>-419616.69921875</v>
      </c>
      <c r="AA587" s="28">
        <f t="shared" si="430"/>
        <v>2581901550.2929688</v>
      </c>
      <c r="AB587" s="28">
        <f t="shared" si="430"/>
        <v>2583427429.1992188</v>
      </c>
      <c r="AC587" s="28">
        <f t="shared" si="430"/>
        <v>2583503723.1445312</v>
      </c>
      <c r="AD587" s="28">
        <f t="shared" si="430"/>
        <v>2583808898.9257812</v>
      </c>
      <c r="AE587" s="28">
        <f t="shared" si="430"/>
        <v>2581748962.4023438</v>
      </c>
      <c r="AF587" s="28">
        <f t="shared" si="430"/>
        <v>2583808898.9257812</v>
      </c>
      <c r="AG587" s="48"/>
    </row>
    <row r="588" spans="1:33" s="214" customFormat="1" x14ac:dyDescent="0.2">
      <c r="A588" s="4" t="s">
        <v>98</v>
      </c>
      <c r="B588" s="62"/>
      <c r="C588" s="28">
        <f>IF(C$522&lt;C586,C583,C584)</f>
        <v>115737915.0390625</v>
      </c>
      <c r="D588" s="28">
        <f t="shared" ref="D588:AF588" si="431">IF(D$522&lt;D586,D583,D584)</f>
        <v>-3174209594.7265625</v>
      </c>
      <c r="E588" s="28">
        <f t="shared" si="431"/>
        <v>-166702270.5078125</v>
      </c>
      <c r="F588" s="28">
        <f t="shared" si="431"/>
        <v>154190063.4765625</v>
      </c>
      <c r="G588" s="28">
        <f t="shared" si="431"/>
        <v>-1098937988.28125</v>
      </c>
      <c r="H588" s="28">
        <f t="shared" si="431"/>
        <v>106582641.6015625</v>
      </c>
      <c r="I588" s="28">
        <f t="shared" si="431"/>
        <v>-44708251.953125</v>
      </c>
      <c r="J588" s="28">
        <f t="shared" si="431"/>
        <v>412826538.0859375</v>
      </c>
      <c r="K588" s="28">
        <f t="shared" si="431"/>
        <v>55999755.859375</v>
      </c>
      <c r="L588" s="28">
        <f t="shared" si="431"/>
        <v>56457519.53125</v>
      </c>
      <c r="M588" s="28">
        <f t="shared" si="431"/>
        <v>55541992.1875</v>
      </c>
      <c r="N588" s="28">
        <f t="shared" si="431"/>
        <v>53710937.5</v>
      </c>
      <c r="O588" s="28">
        <f t="shared" si="431"/>
        <v>52337646.484375</v>
      </c>
      <c r="P588" s="28">
        <f t="shared" si="431"/>
        <v>44555664.0625</v>
      </c>
      <c r="Q588" s="28">
        <f t="shared" si="431"/>
        <v>18463134.765625</v>
      </c>
      <c r="R588" s="28">
        <f t="shared" si="431"/>
        <v>-31661987.3046875</v>
      </c>
      <c r="S588" s="28">
        <f t="shared" si="431"/>
        <v>-13809204.1015625</v>
      </c>
      <c r="T588" s="28">
        <f t="shared" si="431"/>
        <v>5645751.953125</v>
      </c>
      <c r="U588" s="28">
        <f t="shared" si="431"/>
        <v>22125244.140625</v>
      </c>
      <c r="V588" s="28">
        <f t="shared" si="431"/>
        <v>-86364746.09375</v>
      </c>
      <c r="W588" s="28">
        <f t="shared" si="431"/>
        <v>-74691772.4609375</v>
      </c>
      <c r="X588" s="28">
        <f t="shared" si="431"/>
        <v>42037963.8671875</v>
      </c>
      <c r="Y588" s="28">
        <f t="shared" si="431"/>
        <v>44784545.8984375</v>
      </c>
      <c r="Z588" s="28">
        <f t="shared" si="431"/>
        <v>-305175.78125</v>
      </c>
      <c r="AA588" s="28">
        <f t="shared" si="431"/>
        <v>2581939697.265625</v>
      </c>
      <c r="AB588" s="28">
        <f t="shared" si="431"/>
        <v>2583465576.171875</v>
      </c>
      <c r="AC588" s="28">
        <f t="shared" si="431"/>
        <v>2583541870.1171875</v>
      </c>
      <c r="AD588" s="28">
        <f t="shared" si="431"/>
        <v>2583847045.8984375</v>
      </c>
      <c r="AE588" s="28">
        <f t="shared" si="431"/>
        <v>2581787109.375</v>
      </c>
      <c r="AF588" s="28">
        <f t="shared" si="431"/>
        <v>2583847045.8984375</v>
      </c>
      <c r="AG588" s="48"/>
    </row>
    <row r="589" spans="1:33" s="214" customFormat="1" x14ac:dyDescent="0.2">
      <c r="A589" s="4" t="s">
        <v>99</v>
      </c>
      <c r="B589" s="62"/>
      <c r="C589" s="28">
        <f>IF(C$522&gt;C586,C583,C585)</f>
        <v>115509033.203125</v>
      </c>
      <c r="D589" s="28">
        <f t="shared" ref="D589:AF589" si="432">IF(D$522&gt;D586,D583,D585)</f>
        <v>-3174438476.5625</v>
      </c>
      <c r="E589" s="28">
        <f t="shared" si="432"/>
        <v>-166931152.34375</v>
      </c>
      <c r="F589" s="28">
        <f t="shared" si="432"/>
        <v>153961181.640625</v>
      </c>
      <c r="G589" s="28">
        <f t="shared" si="432"/>
        <v>-1099166870.1171875</v>
      </c>
      <c r="H589" s="28">
        <f t="shared" si="432"/>
        <v>106353759.765625</v>
      </c>
      <c r="I589" s="28">
        <f t="shared" si="432"/>
        <v>-44937133.7890625</v>
      </c>
      <c r="J589" s="28">
        <f t="shared" si="432"/>
        <v>412597656.25</v>
      </c>
      <c r="K589" s="28">
        <f t="shared" si="432"/>
        <v>55770874.0234375</v>
      </c>
      <c r="L589" s="28">
        <f t="shared" si="432"/>
        <v>56228637.6953125</v>
      </c>
      <c r="M589" s="28">
        <f t="shared" si="432"/>
        <v>55313110.3515625</v>
      </c>
      <c r="N589" s="28">
        <f t="shared" si="432"/>
        <v>53482055.6640625</v>
      </c>
      <c r="O589" s="28">
        <f t="shared" si="432"/>
        <v>52108764.6484375</v>
      </c>
      <c r="P589" s="28">
        <f t="shared" si="432"/>
        <v>44326782.2265625</v>
      </c>
      <c r="Q589" s="28">
        <f t="shared" si="432"/>
        <v>18234252.9296875</v>
      </c>
      <c r="R589" s="28">
        <f t="shared" si="432"/>
        <v>-31890869.140625</v>
      </c>
      <c r="S589" s="28">
        <f t="shared" si="432"/>
        <v>-14038085.9375</v>
      </c>
      <c r="T589" s="28">
        <f t="shared" si="432"/>
        <v>5416870.1171875</v>
      </c>
      <c r="U589" s="28">
        <f t="shared" si="432"/>
        <v>21896362.3046875</v>
      </c>
      <c r="V589" s="28">
        <f t="shared" si="432"/>
        <v>-86593627.9296875</v>
      </c>
      <c r="W589" s="28">
        <f t="shared" si="432"/>
        <v>-74920654.296875</v>
      </c>
      <c r="X589" s="28">
        <f t="shared" si="432"/>
        <v>41809082.03125</v>
      </c>
      <c r="Y589" s="28">
        <f t="shared" si="432"/>
        <v>44555664.0625</v>
      </c>
      <c r="Z589" s="28">
        <f t="shared" si="432"/>
        <v>-534057.6171875</v>
      </c>
      <c r="AA589" s="28">
        <f t="shared" si="432"/>
        <v>2581863403.3203125</v>
      </c>
      <c r="AB589" s="28">
        <f t="shared" si="432"/>
        <v>2583389282.2265625</v>
      </c>
      <c r="AC589" s="28">
        <f t="shared" si="432"/>
        <v>2583465576.171875</v>
      </c>
      <c r="AD589" s="28">
        <f t="shared" si="432"/>
        <v>2583770751.953125</v>
      </c>
      <c r="AE589" s="28">
        <f t="shared" si="432"/>
        <v>2581710815.4296875</v>
      </c>
      <c r="AF589" s="28">
        <f t="shared" si="432"/>
        <v>2583770751.953125</v>
      </c>
      <c r="AG589" s="48"/>
    </row>
    <row r="590" spans="1:33" s="47" customFormat="1" x14ac:dyDescent="0.2">
      <c r="A590" s="4" t="s">
        <v>100</v>
      </c>
      <c r="B590" s="236"/>
      <c r="C590" s="79">
        <f t="shared" ref="C590:AF590" si="433">(1/C245)*((EXP(C$241*C587)-1)/(EXP(C$242*C587)-1))</f>
        <v>4.8333471027499013E-2</v>
      </c>
      <c r="D590" s="79">
        <f t="shared" si="433"/>
        <v>1.7833020699131667E-2</v>
      </c>
      <c r="E590" s="79">
        <f t="shared" si="433"/>
        <v>4.3013762066457677E-2</v>
      </c>
      <c r="F590" s="79">
        <f t="shared" si="433"/>
        <v>4.9130756518760463E-2</v>
      </c>
      <c r="G590" s="79">
        <f t="shared" si="433"/>
        <v>3.0594236279135847E-2</v>
      </c>
      <c r="H590" s="79">
        <f t="shared" si="433"/>
        <v>4.8146382442778975E-2</v>
      </c>
      <c r="I590" s="79">
        <f t="shared" si="433"/>
        <v>4.5200744734795538E-2</v>
      </c>
      <c r="J590" s="79">
        <f t="shared" si="433"/>
        <v>5.5012030813087719E-2</v>
      </c>
      <c r="K590" s="79">
        <f t="shared" si="433"/>
        <v>4.7131305702421286E-2</v>
      </c>
      <c r="L590" s="79">
        <f t="shared" si="433"/>
        <v>4.7140352650993762E-2</v>
      </c>
      <c r="M590" s="79">
        <f t="shared" si="433"/>
        <v>4.7122261268292484E-2</v>
      </c>
      <c r="N590" s="79">
        <f t="shared" si="433"/>
        <v>4.7086108660633869E-2</v>
      </c>
      <c r="O590" s="79">
        <f t="shared" si="433"/>
        <v>4.7059020568391237E-2</v>
      </c>
      <c r="P590" s="79">
        <f t="shared" si="433"/>
        <v>4.6905947160114973E-2</v>
      </c>
      <c r="Q590" s="79">
        <f t="shared" si="433"/>
        <v>4.6397941442782607E-2</v>
      </c>
      <c r="R590" s="79">
        <f t="shared" si="433"/>
        <v>4.5444262967840099E-2</v>
      </c>
      <c r="S590" s="79">
        <f t="shared" si="433"/>
        <v>4.5780621098884533E-2</v>
      </c>
      <c r="T590" s="79">
        <f t="shared" si="433"/>
        <v>4.615132071620328E-2</v>
      </c>
      <c r="U590" s="79">
        <f t="shared" si="433"/>
        <v>4.6468756781326878E-2</v>
      </c>
      <c r="V590" s="79">
        <f t="shared" si="433"/>
        <v>4.4435886201193507E-2</v>
      </c>
      <c r="W590" s="79">
        <f t="shared" si="433"/>
        <v>4.4648284224732611E-2</v>
      </c>
      <c r="X590" s="79">
        <f t="shared" si="433"/>
        <v>4.6856577974576888E-2</v>
      </c>
      <c r="Y590" s="79">
        <f t="shared" si="433"/>
        <v>4.6910439008518177E-2</v>
      </c>
      <c r="Z590" s="79">
        <f t="shared" si="433"/>
        <v>4.603746690164711E-2</v>
      </c>
      <c r="AA590" s="79">
        <f t="shared" si="433"/>
        <v>0.17248484142128728</v>
      </c>
      <c r="AB590" s="79">
        <f t="shared" si="433"/>
        <v>0.17264254482150893</v>
      </c>
      <c r="AC590" s="79">
        <f t="shared" si="433"/>
        <v>0.17265043438894706</v>
      </c>
      <c r="AD590" s="79">
        <f t="shared" si="433"/>
        <v>0.17268199684868496</v>
      </c>
      <c r="AE590" s="79">
        <f t="shared" si="433"/>
        <v>0.17246908029095701</v>
      </c>
      <c r="AF590" s="79">
        <f t="shared" si="433"/>
        <v>0.17268199684868496</v>
      </c>
      <c r="AG590" s="215"/>
    </row>
    <row r="591" spans="1:33" s="214" customFormat="1" x14ac:dyDescent="0.2">
      <c r="A591" s="4" t="s">
        <v>97</v>
      </c>
      <c r="B591" s="62"/>
      <c r="C591" s="28">
        <f t="shared" ref="C591:AF591" si="434">IF(C$522&gt;C590,C587+((C588-C587)/2),C587-((C587-C589)/2))</f>
        <v>115566253.66210938</v>
      </c>
      <c r="D591" s="28">
        <f t="shared" si="434"/>
        <v>-3174266815.1855469</v>
      </c>
      <c r="E591" s="28">
        <f t="shared" si="434"/>
        <v>-166873931.88476562</v>
      </c>
      <c r="F591" s="28">
        <f t="shared" si="434"/>
        <v>154132843.01757812</v>
      </c>
      <c r="G591" s="28">
        <f t="shared" si="434"/>
        <v>-1099109649.6582031</v>
      </c>
      <c r="H591" s="28">
        <f t="shared" si="434"/>
        <v>106410980.22460938</v>
      </c>
      <c r="I591" s="28">
        <f t="shared" si="434"/>
        <v>-44765472.412109375</v>
      </c>
      <c r="J591" s="28">
        <f t="shared" si="434"/>
        <v>412654876.70898438</v>
      </c>
      <c r="K591" s="28">
        <f t="shared" si="434"/>
        <v>55828094.482421875</v>
      </c>
      <c r="L591" s="28">
        <f t="shared" si="434"/>
        <v>56285858.154296875</v>
      </c>
      <c r="M591" s="28">
        <f t="shared" si="434"/>
        <v>55370330.810546875</v>
      </c>
      <c r="N591" s="28">
        <f t="shared" si="434"/>
        <v>53539276.123046875</v>
      </c>
      <c r="O591" s="28">
        <f t="shared" si="434"/>
        <v>52165985.107421875</v>
      </c>
      <c r="P591" s="28">
        <f t="shared" si="434"/>
        <v>44498443.603515625</v>
      </c>
      <c r="Q591" s="28">
        <f t="shared" si="434"/>
        <v>18405914.306640625</v>
      </c>
      <c r="R591" s="28">
        <f t="shared" si="434"/>
        <v>-31719207.763671875</v>
      </c>
      <c r="S591" s="28">
        <f t="shared" si="434"/>
        <v>-13980865.478515625</v>
      </c>
      <c r="T591" s="28">
        <f t="shared" si="434"/>
        <v>5588531.494140625</v>
      </c>
      <c r="U591" s="28">
        <f t="shared" si="434"/>
        <v>21953582.763671875</v>
      </c>
      <c r="V591" s="28">
        <f t="shared" si="434"/>
        <v>-86536407.470703125</v>
      </c>
      <c r="W591" s="28">
        <f t="shared" si="434"/>
        <v>-74863433.837890625</v>
      </c>
      <c r="X591" s="28">
        <f t="shared" si="434"/>
        <v>41866302.490234375</v>
      </c>
      <c r="Y591" s="28">
        <f t="shared" si="434"/>
        <v>44612884.521484375</v>
      </c>
      <c r="Z591" s="28">
        <f t="shared" si="434"/>
        <v>-362396.240234375</v>
      </c>
      <c r="AA591" s="28">
        <f t="shared" si="434"/>
        <v>2581920623.7792969</v>
      </c>
      <c r="AB591" s="28">
        <f t="shared" si="434"/>
        <v>2583408355.7128906</v>
      </c>
      <c r="AC591" s="28">
        <f t="shared" si="434"/>
        <v>2583484649.6582031</v>
      </c>
      <c r="AD591" s="28">
        <f t="shared" si="434"/>
        <v>2583827972.4121094</v>
      </c>
      <c r="AE591" s="28">
        <f t="shared" si="434"/>
        <v>2581768035.8886719</v>
      </c>
      <c r="AF591" s="28">
        <f t="shared" si="434"/>
        <v>2583789825.4394531</v>
      </c>
      <c r="AG591" s="48"/>
    </row>
    <row r="592" spans="1:33" s="214" customFormat="1" x14ac:dyDescent="0.2">
      <c r="A592" s="4" t="s">
        <v>98</v>
      </c>
      <c r="B592" s="62"/>
      <c r="C592" s="28">
        <f>IF(C$522&lt;C590,C587,C588)</f>
        <v>115623474.12109375</v>
      </c>
      <c r="D592" s="28">
        <f t="shared" ref="D592:AF592" si="435">IF(D$522&lt;D590,D587,D588)</f>
        <v>-3174209594.7265625</v>
      </c>
      <c r="E592" s="28">
        <f t="shared" si="435"/>
        <v>-166816711.42578125</v>
      </c>
      <c r="F592" s="28">
        <f t="shared" si="435"/>
        <v>154190063.4765625</v>
      </c>
      <c r="G592" s="28">
        <f t="shared" si="435"/>
        <v>-1099052429.1992188</v>
      </c>
      <c r="H592" s="28">
        <f t="shared" si="435"/>
        <v>106468200.68359375</v>
      </c>
      <c r="I592" s="28">
        <f t="shared" si="435"/>
        <v>-44708251.953125</v>
      </c>
      <c r="J592" s="28">
        <f t="shared" si="435"/>
        <v>412712097.16796875</v>
      </c>
      <c r="K592" s="28">
        <f t="shared" si="435"/>
        <v>55885314.94140625</v>
      </c>
      <c r="L592" s="28">
        <f t="shared" si="435"/>
        <v>56343078.61328125</v>
      </c>
      <c r="M592" s="28">
        <f t="shared" si="435"/>
        <v>55427551.26953125</v>
      </c>
      <c r="N592" s="28">
        <f t="shared" si="435"/>
        <v>53596496.58203125</v>
      </c>
      <c r="O592" s="28">
        <f t="shared" si="435"/>
        <v>52223205.56640625</v>
      </c>
      <c r="P592" s="28">
        <f t="shared" si="435"/>
        <v>44555664.0625</v>
      </c>
      <c r="Q592" s="28">
        <f t="shared" si="435"/>
        <v>18463134.765625</v>
      </c>
      <c r="R592" s="28">
        <f t="shared" si="435"/>
        <v>-31661987.3046875</v>
      </c>
      <c r="S592" s="28">
        <f t="shared" si="435"/>
        <v>-13923645.01953125</v>
      </c>
      <c r="T592" s="28">
        <f t="shared" si="435"/>
        <v>5645751.953125</v>
      </c>
      <c r="U592" s="28">
        <f t="shared" si="435"/>
        <v>22010803.22265625</v>
      </c>
      <c r="V592" s="28">
        <f t="shared" si="435"/>
        <v>-86479187.01171875</v>
      </c>
      <c r="W592" s="28">
        <f t="shared" si="435"/>
        <v>-74806213.37890625</v>
      </c>
      <c r="X592" s="28">
        <f t="shared" si="435"/>
        <v>41923522.94921875</v>
      </c>
      <c r="Y592" s="28">
        <f t="shared" si="435"/>
        <v>44670104.98046875</v>
      </c>
      <c r="Z592" s="28">
        <f t="shared" si="435"/>
        <v>-305175.78125</v>
      </c>
      <c r="AA592" s="28">
        <f t="shared" si="435"/>
        <v>2581939697.265625</v>
      </c>
      <c r="AB592" s="28">
        <f t="shared" si="435"/>
        <v>2583427429.1992188</v>
      </c>
      <c r="AC592" s="28">
        <f t="shared" si="435"/>
        <v>2583503723.1445312</v>
      </c>
      <c r="AD592" s="28">
        <f t="shared" si="435"/>
        <v>2583847045.8984375</v>
      </c>
      <c r="AE592" s="28">
        <f t="shared" si="435"/>
        <v>2581787109.375</v>
      </c>
      <c r="AF592" s="28">
        <f t="shared" si="435"/>
        <v>2583808898.9257812</v>
      </c>
      <c r="AG592" s="48"/>
    </row>
    <row r="593" spans="1:33" s="214" customFormat="1" x14ac:dyDescent="0.2">
      <c r="A593" s="4" t="s">
        <v>99</v>
      </c>
      <c r="B593" s="62"/>
      <c r="C593" s="28">
        <f>IF(C$522&gt;C590,C587,C589)</f>
        <v>115509033.203125</v>
      </c>
      <c r="D593" s="28">
        <f t="shared" ref="D593:AF593" si="436">IF(D$522&gt;D590,D587,D589)</f>
        <v>-3174324035.6445312</v>
      </c>
      <c r="E593" s="28">
        <f t="shared" si="436"/>
        <v>-166931152.34375</v>
      </c>
      <c r="F593" s="28">
        <f t="shared" si="436"/>
        <v>154075622.55859375</v>
      </c>
      <c r="G593" s="28">
        <f t="shared" si="436"/>
        <v>-1099166870.1171875</v>
      </c>
      <c r="H593" s="28">
        <f t="shared" si="436"/>
        <v>106353759.765625</v>
      </c>
      <c r="I593" s="28">
        <f t="shared" si="436"/>
        <v>-44822692.87109375</v>
      </c>
      <c r="J593" s="28">
        <f t="shared" si="436"/>
        <v>412597656.25</v>
      </c>
      <c r="K593" s="28">
        <f t="shared" si="436"/>
        <v>55770874.0234375</v>
      </c>
      <c r="L593" s="28">
        <f t="shared" si="436"/>
        <v>56228637.6953125</v>
      </c>
      <c r="M593" s="28">
        <f t="shared" si="436"/>
        <v>55313110.3515625</v>
      </c>
      <c r="N593" s="28">
        <f t="shared" si="436"/>
        <v>53482055.6640625</v>
      </c>
      <c r="O593" s="28">
        <f t="shared" si="436"/>
        <v>52108764.6484375</v>
      </c>
      <c r="P593" s="28">
        <f t="shared" si="436"/>
        <v>44441223.14453125</v>
      </c>
      <c r="Q593" s="28">
        <f t="shared" si="436"/>
        <v>18348693.84765625</v>
      </c>
      <c r="R593" s="28">
        <f t="shared" si="436"/>
        <v>-31776428.22265625</v>
      </c>
      <c r="S593" s="28">
        <f t="shared" si="436"/>
        <v>-14038085.9375</v>
      </c>
      <c r="T593" s="28">
        <f t="shared" si="436"/>
        <v>5531311.03515625</v>
      </c>
      <c r="U593" s="28">
        <f t="shared" si="436"/>
        <v>21896362.3046875</v>
      </c>
      <c r="V593" s="28">
        <f t="shared" si="436"/>
        <v>-86593627.9296875</v>
      </c>
      <c r="W593" s="28">
        <f t="shared" si="436"/>
        <v>-74920654.296875</v>
      </c>
      <c r="X593" s="28">
        <f t="shared" si="436"/>
        <v>41809082.03125</v>
      </c>
      <c r="Y593" s="28">
        <f t="shared" si="436"/>
        <v>44555664.0625</v>
      </c>
      <c r="Z593" s="28">
        <f t="shared" si="436"/>
        <v>-419616.69921875</v>
      </c>
      <c r="AA593" s="28">
        <f t="shared" si="436"/>
        <v>2581901550.2929688</v>
      </c>
      <c r="AB593" s="28">
        <f t="shared" si="436"/>
        <v>2583389282.2265625</v>
      </c>
      <c r="AC593" s="28">
        <f t="shared" si="436"/>
        <v>2583465576.171875</v>
      </c>
      <c r="AD593" s="28">
        <f t="shared" si="436"/>
        <v>2583808898.9257812</v>
      </c>
      <c r="AE593" s="28">
        <f t="shared" si="436"/>
        <v>2581748962.4023438</v>
      </c>
      <c r="AF593" s="28">
        <f t="shared" si="436"/>
        <v>2583770751.953125</v>
      </c>
      <c r="AG593" s="48"/>
    </row>
    <row r="594" spans="1:33" s="47" customFormat="1" x14ac:dyDescent="0.2">
      <c r="A594" s="4" t="s">
        <v>100</v>
      </c>
      <c r="B594" s="236"/>
      <c r="C594" s="79">
        <f t="shared" ref="C594:AF594" si="437">(1/C245)*((EXP(C$241*C591)-1)/(EXP(C$242*C591)-1))</f>
        <v>4.8332298478104677E-2</v>
      </c>
      <c r="D594" s="79">
        <f t="shared" si="437"/>
        <v>1.7833223359585634E-2</v>
      </c>
      <c r="E594" s="79">
        <f t="shared" si="437"/>
        <v>4.3012773343823314E-2</v>
      </c>
      <c r="F594" s="79">
        <f t="shared" si="437"/>
        <v>4.9131956964672992E-2</v>
      </c>
      <c r="G594" s="79">
        <f t="shared" si="437"/>
        <v>3.0593658726108388E-2</v>
      </c>
      <c r="H594" s="79">
        <f t="shared" si="437"/>
        <v>4.8145216418890982E-2</v>
      </c>
      <c r="I594" s="79">
        <f t="shared" si="437"/>
        <v>4.5201808619043937E-2</v>
      </c>
      <c r="J594" s="79">
        <f t="shared" si="437"/>
        <v>5.5010622815062422E-2</v>
      </c>
      <c r="K594" s="79">
        <f t="shared" si="437"/>
        <v>4.713017501066244E-2</v>
      </c>
      <c r="L594" s="79">
        <f t="shared" si="437"/>
        <v>4.7139221644886556E-2</v>
      </c>
      <c r="M594" s="79">
        <f t="shared" si="437"/>
        <v>4.7121130890784325E-2</v>
      </c>
      <c r="N594" s="79">
        <f t="shared" si="437"/>
        <v>4.7084979539154831E-2</v>
      </c>
      <c r="O594" s="79">
        <f t="shared" si="437"/>
        <v>4.7057892387912761E-2</v>
      </c>
      <c r="P594" s="79">
        <f t="shared" si="437"/>
        <v>4.6907070063734825E-2</v>
      </c>
      <c r="Q594" s="79">
        <f t="shared" si="437"/>
        <v>4.6399046724890917E-2</v>
      </c>
      <c r="R594" s="79">
        <f t="shared" si="437"/>
        <v>4.5445335257634591E-2</v>
      </c>
      <c r="S594" s="79">
        <f t="shared" si="437"/>
        <v>4.5779537223698243E-2</v>
      </c>
      <c r="T594" s="79">
        <f t="shared" si="437"/>
        <v>4.615241745534842E-2</v>
      </c>
      <c r="U594" s="79">
        <f t="shared" si="437"/>
        <v>4.6467649083140862E-2</v>
      </c>
      <c r="V594" s="79">
        <f t="shared" si="437"/>
        <v>4.4434848702009908E-2</v>
      </c>
      <c r="W594" s="79">
        <f t="shared" si="437"/>
        <v>4.4647239416609009E-2</v>
      </c>
      <c r="X594" s="79">
        <f t="shared" si="437"/>
        <v>4.6855456823788409E-2</v>
      </c>
      <c r="Y594" s="79">
        <f t="shared" si="437"/>
        <v>4.6909315987934568E-2</v>
      </c>
      <c r="Z594" s="79">
        <f t="shared" si="437"/>
        <v>4.6038559699456638E-2</v>
      </c>
      <c r="AA594" s="79">
        <f t="shared" si="437"/>
        <v>0.17248681168027258</v>
      </c>
      <c r="AB594" s="79">
        <f t="shared" si="437"/>
        <v>0.17264057249511147</v>
      </c>
      <c r="AC594" s="79">
        <f t="shared" si="437"/>
        <v>0.1726484619578095</v>
      </c>
      <c r="AD594" s="79">
        <f t="shared" si="437"/>
        <v>0.17268396972503344</v>
      </c>
      <c r="AE594" s="79">
        <f t="shared" si="437"/>
        <v>0.17247105034071183</v>
      </c>
      <c r="AF594" s="79">
        <f t="shared" si="437"/>
        <v>0.17268002399852839</v>
      </c>
      <c r="AG594" s="215"/>
    </row>
    <row r="595" spans="1:33" s="214" customFormat="1" x14ac:dyDescent="0.2">
      <c r="A595" s="4" t="s">
        <v>97</v>
      </c>
      <c r="B595" s="62"/>
      <c r="C595" s="28">
        <f t="shared" ref="C595:AF595" si="438">IF(C$522&gt;C594,C591+((C592-C591)/2),C591-((C591-C593)/2))</f>
        <v>115594863.89160156</v>
      </c>
      <c r="D595" s="28">
        <f t="shared" si="438"/>
        <v>-3174295425.4150391</v>
      </c>
      <c r="E595" s="28">
        <f t="shared" si="438"/>
        <v>-166902542.11425781</v>
      </c>
      <c r="F595" s="28">
        <f t="shared" si="438"/>
        <v>154104232.78808594</v>
      </c>
      <c r="G595" s="28">
        <f t="shared" si="438"/>
        <v>-1099138259.8876953</v>
      </c>
      <c r="H595" s="28">
        <f t="shared" si="438"/>
        <v>106439590.45410156</v>
      </c>
      <c r="I595" s="28">
        <f t="shared" si="438"/>
        <v>-44794082.641601562</v>
      </c>
      <c r="J595" s="28">
        <f t="shared" si="438"/>
        <v>412683486.93847656</v>
      </c>
      <c r="K595" s="28">
        <f t="shared" si="438"/>
        <v>55856704.711914062</v>
      </c>
      <c r="L595" s="28">
        <f t="shared" si="438"/>
        <v>56257247.924804688</v>
      </c>
      <c r="M595" s="28">
        <f t="shared" si="438"/>
        <v>55341720.581054688</v>
      </c>
      <c r="N595" s="28">
        <f t="shared" si="438"/>
        <v>53510665.893554688</v>
      </c>
      <c r="O595" s="28">
        <f t="shared" si="438"/>
        <v>52137374.877929688</v>
      </c>
      <c r="P595" s="28">
        <f t="shared" si="438"/>
        <v>44469833.374023438</v>
      </c>
      <c r="Q595" s="28">
        <f t="shared" si="438"/>
        <v>18434524.536132812</v>
      </c>
      <c r="R595" s="28">
        <f t="shared" si="438"/>
        <v>-31690597.534179688</v>
      </c>
      <c r="S595" s="28">
        <f t="shared" si="438"/>
        <v>-14009475.708007812</v>
      </c>
      <c r="T595" s="28">
        <f t="shared" si="438"/>
        <v>5559921.2646484375</v>
      </c>
      <c r="U595" s="28">
        <f t="shared" si="438"/>
        <v>21924972.534179688</v>
      </c>
      <c r="V595" s="28">
        <f t="shared" si="438"/>
        <v>-86507797.241210938</v>
      </c>
      <c r="W595" s="28">
        <f t="shared" si="438"/>
        <v>-74834823.608398438</v>
      </c>
      <c r="X595" s="28">
        <f t="shared" si="438"/>
        <v>41894912.719726562</v>
      </c>
      <c r="Y595" s="28">
        <f t="shared" si="438"/>
        <v>44641494.750976562</v>
      </c>
      <c r="Z595" s="28">
        <f t="shared" si="438"/>
        <v>-333786.0107421875</v>
      </c>
      <c r="AA595" s="28">
        <f t="shared" si="438"/>
        <v>2581911087.0361328</v>
      </c>
      <c r="AB595" s="28">
        <f t="shared" si="438"/>
        <v>2583398818.9697266</v>
      </c>
      <c r="AC595" s="28">
        <f t="shared" si="438"/>
        <v>2583494186.4013672</v>
      </c>
      <c r="AD595" s="28">
        <f t="shared" si="438"/>
        <v>2583837509.1552734</v>
      </c>
      <c r="AE595" s="28">
        <f t="shared" si="438"/>
        <v>2581758499.1455078</v>
      </c>
      <c r="AF595" s="28">
        <f t="shared" si="438"/>
        <v>2583799362.1826172</v>
      </c>
      <c r="AG595" s="48"/>
    </row>
    <row r="596" spans="1:33" s="214" customFormat="1" x14ac:dyDescent="0.2">
      <c r="A596" s="4" t="s">
        <v>98</v>
      </c>
      <c r="B596" s="62"/>
      <c r="C596" s="28">
        <f>IF(C$522&lt;C594,C591,C592)</f>
        <v>115623474.12109375</v>
      </c>
      <c r="D596" s="28">
        <f t="shared" ref="D596:AF596" si="439">IF(D$522&lt;D594,D591,D592)</f>
        <v>-3174266815.1855469</v>
      </c>
      <c r="E596" s="28">
        <f t="shared" si="439"/>
        <v>-166873931.88476562</v>
      </c>
      <c r="F596" s="28">
        <f t="shared" si="439"/>
        <v>154132843.01757812</v>
      </c>
      <c r="G596" s="28">
        <f t="shared" si="439"/>
        <v>-1099109649.6582031</v>
      </c>
      <c r="H596" s="28">
        <f t="shared" si="439"/>
        <v>106468200.68359375</v>
      </c>
      <c r="I596" s="28">
        <f t="shared" si="439"/>
        <v>-44765472.412109375</v>
      </c>
      <c r="J596" s="28">
        <f t="shared" si="439"/>
        <v>412712097.16796875</v>
      </c>
      <c r="K596" s="28">
        <f t="shared" si="439"/>
        <v>55885314.94140625</v>
      </c>
      <c r="L596" s="28">
        <f t="shared" si="439"/>
        <v>56285858.154296875</v>
      </c>
      <c r="M596" s="28">
        <f t="shared" si="439"/>
        <v>55370330.810546875</v>
      </c>
      <c r="N596" s="28">
        <f t="shared" si="439"/>
        <v>53539276.123046875</v>
      </c>
      <c r="O596" s="28">
        <f t="shared" si="439"/>
        <v>52165985.107421875</v>
      </c>
      <c r="P596" s="28">
        <f t="shared" si="439"/>
        <v>44498443.603515625</v>
      </c>
      <c r="Q596" s="28">
        <f t="shared" si="439"/>
        <v>18463134.765625</v>
      </c>
      <c r="R596" s="28">
        <f t="shared" si="439"/>
        <v>-31661987.3046875</v>
      </c>
      <c r="S596" s="28">
        <f t="shared" si="439"/>
        <v>-13980865.478515625</v>
      </c>
      <c r="T596" s="28">
        <f t="shared" si="439"/>
        <v>5588531.494140625</v>
      </c>
      <c r="U596" s="28">
        <f t="shared" si="439"/>
        <v>21953582.763671875</v>
      </c>
      <c r="V596" s="28">
        <f t="shared" si="439"/>
        <v>-86479187.01171875</v>
      </c>
      <c r="W596" s="28">
        <f t="shared" si="439"/>
        <v>-74806213.37890625</v>
      </c>
      <c r="X596" s="28">
        <f t="shared" si="439"/>
        <v>41923522.94921875</v>
      </c>
      <c r="Y596" s="28">
        <f t="shared" si="439"/>
        <v>44670104.98046875</v>
      </c>
      <c r="Z596" s="28">
        <f t="shared" si="439"/>
        <v>-305175.78125</v>
      </c>
      <c r="AA596" s="28">
        <f t="shared" si="439"/>
        <v>2581920623.7792969</v>
      </c>
      <c r="AB596" s="28">
        <f t="shared" si="439"/>
        <v>2583408355.7128906</v>
      </c>
      <c r="AC596" s="28">
        <f t="shared" si="439"/>
        <v>2583503723.1445312</v>
      </c>
      <c r="AD596" s="28">
        <f t="shared" si="439"/>
        <v>2583847045.8984375</v>
      </c>
      <c r="AE596" s="28">
        <f t="shared" si="439"/>
        <v>2581768035.8886719</v>
      </c>
      <c r="AF596" s="28">
        <f t="shared" si="439"/>
        <v>2583808898.9257812</v>
      </c>
      <c r="AG596" s="48"/>
    </row>
    <row r="597" spans="1:33" s="214" customFormat="1" x14ac:dyDescent="0.2">
      <c r="A597" s="4" t="s">
        <v>99</v>
      </c>
      <c r="B597" s="62"/>
      <c r="C597" s="28">
        <f>IF(C$522&gt;C594,C591,C593)</f>
        <v>115566253.66210938</v>
      </c>
      <c r="D597" s="28">
        <f t="shared" ref="D597:AF597" si="440">IF(D$522&gt;D594,D591,D593)</f>
        <v>-3174324035.6445312</v>
      </c>
      <c r="E597" s="28">
        <f t="shared" si="440"/>
        <v>-166931152.34375</v>
      </c>
      <c r="F597" s="28">
        <f t="shared" si="440"/>
        <v>154075622.55859375</v>
      </c>
      <c r="G597" s="28">
        <f t="shared" si="440"/>
        <v>-1099166870.1171875</v>
      </c>
      <c r="H597" s="28">
        <f t="shared" si="440"/>
        <v>106410980.22460938</v>
      </c>
      <c r="I597" s="28">
        <f t="shared" si="440"/>
        <v>-44822692.87109375</v>
      </c>
      <c r="J597" s="28">
        <f t="shared" si="440"/>
        <v>412654876.70898438</v>
      </c>
      <c r="K597" s="28">
        <f t="shared" si="440"/>
        <v>55828094.482421875</v>
      </c>
      <c r="L597" s="28">
        <f t="shared" si="440"/>
        <v>56228637.6953125</v>
      </c>
      <c r="M597" s="28">
        <f t="shared" si="440"/>
        <v>55313110.3515625</v>
      </c>
      <c r="N597" s="28">
        <f t="shared" si="440"/>
        <v>53482055.6640625</v>
      </c>
      <c r="O597" s="28">
        <f t="shared" si="440"/>
        <v>52108764.6484375</v>
      </c>
      <c r="P597" s="28">
        <f t="shared" si="440"/>
        <v>44441223.14453125</v>
      </c>
      <c r="Q597" s="28">
        <f t="shared" si="440"/>
        <v>18405914.306640625</v>
      </c>
      <c r="R597" s="28">
        <f t="shared" si="440"/>
        <v>-31719207.763671875</v>
      </c>
      <c r="S597" s="28">
        <f t="shared" si="440"/>
        <v>-14038085.9375</v>
      </c>
      <c r="T597" s="28">
        <f t="shared" si="440"/>
        <v>5531311.03515625</v>
      </c>
      <c r="U597" s="28">
        <f t="shared" si="440"/>
        <v>21896362.3046875</v>
      </c>
      <c r="V597" s="28">
        <f t="shared" si="440"/>
        <v>-86536407.470703125</v>
      </c>
      <c r="W597" s="28">
        <f t="shared" si="440"/>
        <v>-74863433.837890625</v>
      </c>
      <c r="X597" s="28">
        <f t="shared" si="440"/>
        <v>41866302.490234375</v>
      </c>
      <c r="Y597" s="28">
        <f t="shared" si="440"/>
        <v>44612884.521484375</v>
      </c>
      <c r="Z597" s="28">
        <f t="shared" si="440"/>
        <v>-362396.240234375</v>
      </c>
      <c r="AA597" s="28">
        <f t="shared" si="440"/>
        <v>2581901550.2929688</v>
      </c>
      <c r="AB597" s="28">
        <f t="shared" si="440"/>
        <v>2583389282.2265625</v>
      </c>
      <c r="AC597" s="28">
        <f t="shared" si="440"/>
        <v>2583484649.6582031</v>
      </c>
      <c r="AD597" s="28">
        <f t="shared" si="440"/>
        <v>2583827972.4121094</v>
      </c>
      <c r="AE597" s="28">
        <f t="shared" si="440"/>
        <v>2581748962.4023438</v>
      </c>
      <c r="AF597" s="28">
        <f t="shared" si="440"/>
        <v>2583789825.4394531</v>
      </c>
      <c r="AG597" s="48"/>
    </row>
    <row r="598" spans="1:33" s="47" customFormat="1" x14ac:dyDescent="0.2">
      <c r="A598" s="4" t="s">
        <v>100</v>
      </c>
      <c r="B598" s="236"/>
      <c r="C598" s="79">
        <f t="shared" ref="C598:AF598" si="441">(1/C245)*((EXP(C$241*C595)-1)/(EXP(C$242*C595)-1))</f>
        <v>4.8332884747687752E-2</v>
      </c>
      <c r="D598" s="79">
        <f t="shared" si="441"/>
        <v>1.7833122028700715E-2</v>
      </c>
      <c r="E598" s="79">
        <f t="shared" si="441"/>
        <v>4.3012278995185851E-2</v>
      </c>
      <c r="F598" s="79">
        <f t="shared" si="441"/>
        <v>4.9131356736467104E-2</v>
      </c>
      <c r="G598" s="79">
        <f t="shared" si="441"/>
        <v>3.0593369956474274E-2</v>
      </c>
      <c r="H598" s="79">
        <f t="shared" si="441"/>
        <v>4.8145799425752867E-2</v>
      </c>
      <c r="I598" s="79">
        <f t="shared" si="441"/>
        <v>4.5201276672331654E-2</v>
      </c>
      <c r="J598" s="79">
        <f t="shared" si="441"/>
        <v>5.5011326807810658E-2</v>
      </c>
      <c r="K598" s="79">
        <f t="shared" si="441"/>
        <v>4.7130740351631097E-2</v>
      </c>
      <c r="L598" s="79">
        <f t="shared" si="441"/>
        <v>4.7138656156570841E-2</v>
      </c>
      <c r="M598" s="79">
        <f t="shared" si="441"/>
        <v>4.7120565716758288E-2</v>
      </c>
      <c r="N598" s="79">
        <f t="shared" si="441"/>
        <v>4.7084414993124366E-2</v>
      </c>
      <c r="O598" s="79">
        <f t="shared" si="441"/>
        <v>4.7057328312369334E-2</v>
      </c>
      <c r="P598" s="79">
        <f t="shared" si="441"/>
        <v>4.6906508607051776E-2</v>
      </c>
      <c r="Q598" s="79">
        <f t="shared" si="441"/>
        <v>4.6399599380308153E-2</v>
      </c>
      <c r="R598" s="79">
        <f t="shared" si="441"/>
        <v>4.5445871416417406E-2</v>
      </c>
      <c r="S598" s="79">
        <f t="shared" si="441"/>
        <v>4.5778995300158991E-2</v>
      </c>
      <c r="T598" s="79">
        <f t="shared" si="441"/>
        <v>4.6151869081028418E-2</v>
      </c>
      <c r="U598" s="79">
        <f t="shared" si="441"/>
        <v>4.6467095248448387E-2</v>
      </c>
      <c r="V598" s="79">
        <f t="shared" si="441"/>
        <v>4.4435367447140835E-2</v>
      </c>
      <c r="W598" s="79">
        <f t="shared" si="441"/>
        <v>4.464776181617458E-2</v>
      </c>
      <c r="X598" s="79">
        <f t="shared" si="441"/>
        <v>4.6856017394317849E-2</v>
      </c>
      <c r="Y598" s="79">
        <f t="shared" si="441"/>
        <v>4.6909877493353215E-2</v>
      </c>
      <c r="Z598" s="79">
        <f t="shared" si="441"/>
        <v>4.603910611252917E-2</v>
      </c>
      <c r="AA598" s="79">
        <f t="shared" si="441"/>
        <v>0.17248582654751041</v>
      </c>
      <c r="AB598" s="79">
        <f t="shared" si="441"/>
        <v>0.17263958634173179</v>
      </c>
      <c r="AC598" s="79">
        <f t="shared" si="441"/>
        <v>0.17264944817010508</v>
      </c>
      <c r="AD598" s="79">
        <f t="shared" si="441"/>
        <v>0.17268495617302967</v>
      </c>
      <c r="AE598" s="79">
        <f t="shared" si="441"/>
        <v>0.17247006531256534</v>
      </c>
      <c r="AF598" s="79">
        <f t="shared" si="441"/>
        <v>0.17268101042033271</v>
      </c>
      <c r="AG598" s="215"/>
    </row>
    <row r="599" spans="1:33" s="214" customFormat="1" x14ac:dyDescent="0.2">
      <c r="A599" s="4" t="s">
        <v>97</v>
      </c>
      <c r="B599" s="62"/>
      <c r="C599" s="28">
        <f t="shared" ref="C599:AF599" si="442">IF(C$522&gt;C598,C595+((C596-C595)/2),C595-((C595-C597)/2))</f>
        <v>115580558.77685547</v>
      </c>
      <c r="D599" s="28">
        <f t="shared" si="442"/>
        <v>-3174309730.5297852</v>
      </c>
      <c r="E599" s="28">
        <f t="shared" si="442"/>
        <v>-166888236.99951172</v>
      </c>
      <c r="F599" s="28">
        <f t="shared" si="442"/>
        <v>154118537.90283203</v>
      </c>
      <c r="G599" s="28">
        <f t="shared" si="442"/>
        <v>-1099123954.7729492</v>
      </c>
      <c r="H599" s="28">
        <f t="shared" si="442"/>
        <v>106425285.33935547</v>
      </c>
      <c r="I599" s="28">
        <f t="shared" si="442"/>
        <v>-44808387.756347656</v>
      </c>
      <c r="J599" s="28">
        <f t="shared" si="442"/>
        <v>412697792.05322266</v>
      </c>
      <c r="K599" s="28">
        <f t="shared" si="442"/>
        <v>55842399.597167969</v>
      </c>
      <c r="L599" s="28">
        <f t="shared" si="442"/>
        <v>56271553.039550781</v>
      </c>
      <c r="M599" s="28">
        <f t="shared" si="442"/>
        <v>55327415.466308594</v>
      </c>
      <c r="N599" s="28">
        <f t="shared" si="442"/>
        <v>53496360.778808594</v>
      </c>
      <c r="O599" s="28">
        <f t="shared" si="442"/>
        <v>52151679.992675781</v>
      </c>
      <c r="P599" s="28">
        <f t="shared" si="442"/>
        <v>44455528.259277344</v>
      </c>
      <c r="Q599" s="28">
        <f t="shared" si="442"/>
        <v>18448829.650878906</v>
      </c>
      <c r="R599" s="28">
        <f t="shared" si="442"/>
        <v>-31704902.648925781</v>
      </c>
      <c r="S599" s="28">
        <f t="shared" si="442"/>
        <v>-14023780.822753906</v>
      </c>
      <c r="T599" s="28">
        <f t="shared" si="442"/>
        <v>5545616.1499023438</v>
      </c>
      <c r="U599" s="28">
        <f t="shared" si="442"/>
        <v>21939277.648925781</v>
      </c>
      <c r="V599" s="28">
        <f t="shared" si="442"/>
        <v>-86522102.355957031</v>
      </c>
      <c r="W599" s="28">
        <f t="shared" si="442"/>
        <v>-74820518.493652344</v>
      </c>
      <c r="X599" s="28">
        <f t="shared" si="442"/>
        <v>41880607.604980469</v>
      </c>
      <c r="Y599" s="28">
        <f t="shared" si="442"/>
        <v>44655799.865722656</v>
      </c>
      <c r="Z599" s="28">
        <f t="shared" si="442"/>
        <v>-348091.12548828125</v>
      </c>
      <c r="AA599" s="28">
        <f t="shared" si="442"/>
        <v>2581906318.6645508</v>
      </c>
      <c r="AB599" s="28">
        <f t="shared" si="442"/>
        <v>2583403587.3413086</v>
      </c>
      <c r="AC599" s="28">
        <f t="shared" si="442"/>
        <v>2583498954.7729492</v>
      </c>
      <c r="AD599" s="28">
        <f t="shared" si="442"/>
        <v>2583842277.5268555</v>
      </c>
      <c r="AE599" s="28">
        <f t="shared" si="442"/>
        <v>2581763267.5170898</v>
      </c>
      <c r="AF599" s="28">
        <f t="shared" si="442"/>
        <v>2583794593.8110352</v>
      </c>
      <c r="AG599" s="48"/>
    </row>
    <row r="600" spans="1:33" s="214" customFormat="1" x14ac:dyDescent="0.2">
      <c r="A600" s="4" t="s">
        <v>98</v>
      </c>
      <c r="B600" s="62"/>
      <c r="C600" s="28">
        <f>IF(C$522&lt;C598,C595,C596)</f>
        <v>115594863.89160156</v>
      </c>
      <c r="D600" s="28">
        <f t="shared" ref="D600:AF600" si="443">IF(D$522&lt;D598,D595,D596)</f>
        <v>-3174295425.4150391</v>
      </c>
      <c r="E600" s="28">
        <f t="shared" si="443"/>
        <v>-166873931.88476562</v>
      </c>
      <c r="F600" s="28">
        <f t="shared" si="443"/>
        <v>154132843.01757812</v>
      </c>
      <c r="G600" s="28">
        <f t="shared" si="443"/>
        <v>-1099109649.6582031</v>
      </c>
      <c r="H600" s="28">
        <f t="shared" si="443"/>
        <v>106439590.45410156</v>
      </c>
      <c r="I600" s="28">
        <f t="shared" si="443"/>
        <v>-44794082.641601562</v>
      </c>
      <c r="J600" s="28">
        <f t="shared" si="443"/>
        <v>412712097.16796875</v>
      </c>
      <c r="K600" s="28">
        <f t="shared" si="443"/>
        <v>55856704.711914062</v>
      </c>
      <c r="L600" s="28">
        <f t="shared" si="443"/>
        <v>56285858.154296875</v>
      </c>
      <c r="M600" s="28">
        <f t="shared" si="443"/>
        <v>55341720.581054688</v>
      </c>
      <c r="N600" s="28">
        <f t="shared" si="443"/>
        <v>53510665.893554688</v>
      </c>
      <c r="O600" s="28">
        <f t="shared" si="443"/>
        <v>52165985.107421875</v>
      </c>
      <c r="P600" s="28">
        <f t="shared" si="443"/>
        <v>44469833.374023438</v>
      </c>
      <c r="Q600" s="28">
        <f t="shared" si="443"/>
        <v>18463134.765625</v>
      </c>
      <c r="R600" s="28">
        <f t="shared" si="443"/>
        <v>-31690597.534179688</v>
      </c>
      <c r="S600" s="28">
        <f t="shared" si="443"/>
        <v>-14009475.708007812</v>
      </c>
      <c r="T600" s="28">
        <f t="shared" si="443"/>
        <v>5559921.2646484375</v>
      </c>
      <c r="U600" s="28">
        <f t="shared" si="443"/>
        <v>21953582.763671875</v>
      </c>
      <c r="V600" s="28">
        <f t="shared" si="443"/>
        <v>-86507797.241210938</v>
      </c>
      <c r="W600" s="28">
        <f t="shared" si="443"/>
        <v>-74806213.37890625</v>
      </c>
      <c r="X600" s="28">
        <f t="shared" si="443"/>
        <v>41894912.719726562</v>
      </c>
      <c r="Y600" s="28">
        <f t="shared" si="443"/>
        <v>44670104.98046875</v>
      </c>
      <c r="Z600" s="28">
        <f t="shared" si="443"/>
        <v>-333786.0107421875</v>
      </c>
      <c r="AA600" s="28">
        <f t="shared" si="443"/>
        <v>2581911087.0361328</v>
      </c>
      <c r="AB600" s="28">
        <f t="shared" si="443"/>
        <v>2583408355.7128906</v>
      </c>
      <c r="AC600" s="28">
        <f t="shared" si="443"/>
        <v>2583503723.1445312</v>
      </c>
      <c r="AD600" s="28">
        <f t="shared" si="443"/>
        <v>2583847045.8984375</v>
      </c>
      <c r="AE600" s="28">
        <f t="shared" si="443"/>
        <v>2581768035.8886719</v>
      </c>
      <c r="AF600" s="28">
        <f t="shared" si="443"/>
        <v>2583799362.1826172</v>
      </c>
      <c r="AG600" s="48"/>
    </row>
    <row r="601" spans="1:33" s="214" customFormat="1" x14ac:dyDescent="0.2">
      <c r="A601" s="4" t="s">
        <v>99</v>
      </c>
      <c r="B601" s="62"/>
      <c r="C601" s="28">
        <f>IF(C$522&gt;C598,C595,C597)</f>
        <v>115566253.66210938</v>
      </c>
      <c r="D601" s="28">
        <f t="shared" ref="D601:AF601" si="444">IF(D$522&gt;D598,D595,D597)</f>
        <v>-3174324035.6445312</v>
      </c>
      <c r="E601" s="28">
        <f t="shared" si="444"/>
        <v>-166902542.11425781</v>
      </c>
      <c r="F601" s="28">
        <f t="shared" si="444"/>
        <v>154104232.78808594</v>
      </c>
      <c r="G601" s="28">
        <f t="shared" si="444"/>
        <v>-1099138259.8876953</v>
      </c>
      <c r="H601" s="28">
        <f t="shared" si="444"/>
        <v>106410980.22460938</v>
      </c>
      <c r="I601" s="28">
        <f t="shared" si="444"/>
        <v>-44822692.87109375</v>
      </c>
      <c r="J601" s="28">
        <f t="shared" si="444"/>
        <v>412683486.93847656</v>
      </c>
      <c r="K601" s="28">
        <f t="shared" si="444"/>
        <v>55828094.482421875</v>
      </c>
      <c r="L601" s="28">
        <f t="shared" si="444"/>
        <v>56257247.924804688</v>
      </c>
      <c r="M601" s="28">
        <f t="shared" si="444"/>
        <v>55313110.3515625</v>
      </c>
      <c r="N601" s="28">
        <f t="shared" si="444"/>
        <v>53482055.6640625</v>
      </c>
      <c r="O601" s="28">
        <f t="shared" si="444"/>
        <v>52137374.877929688</v>
      </c>
      <c r="P601" s="28">
        <f t="shared" si="444"/>
        <v>44441223.14453125</v>
      </c>
      <c r="Q601" s="28">
        <f t="shared" si="444"/>
        <v>18434524.536132812</v>
      </c>
      <c r="R601" s="28">
        <f t="shared" si="444"/>
        <v>-31719207.763671875</v>
      </c>
      <c r="S601" s="28">
        <f t="shared" si="444"/>
        <v>-14038085.9375</v>
      </c>
      <c r="T601" s="28">
        <f t="shared" si="444"/>
        <v>5531311.03515625</v>
      </c>
      <c r="U601" s="28">
        <f t="shared" si="444"/>
        <v>21924972.534179688</v>
      </c>
      <c r="V601" s="28">
        <f t="shared" si="444"/>
        <v>-86536407.470703125</v>
      </c>
      <c r="W601" s="28">
        <f t="shared" si="444"/>
        <v>-74834823.608398438</v>
      </c>
      <c r="X601" s="28">
        <f t="shared" si="444"/>
        <v>41866302.490234375</v>
      </c>
      <c r="Y601" s="28">
        <f t="shared" si="444"/>
        <v>44641494.750976562</v>
      </c>
      <c r="Z601" s="28">
        <f t="shared" si="444"/>
        <v>-362396.240234375</v>
      </c>
      <c r="AA601" s="28">
        <f t="shared" si="444"/>
        <v>2581901550.2929688</v>
      </c>
      <c r="AB601" s="28">
        <f t="shared" si="444"/>
        <v>2583398818.9697266</v>
      </c>
      <c r="AC601" s="28">
        <f t="shared" si="444"/>
        <v>2583494186.4013672</v>
      </c>
      <c r="AD601" s="28">
        <f t="shared" si="444"/>
        <v>2583837509.1552734</v>
      </c>
      <c r="AE601" s="28">
        <f t="shared" si="444"/>
        <v>2581758499.1455078</v>
      </c>
      <c r="AF601" s="28">
        <f t="shared" si="444"/>
        <v>2583789825.4394531</v>
      </c>
      <c r="AG601" s="48"/>
    </row>
    <row r="602" spans="1:33" s="47" customFormat="1" x14ac:dyDescent="0.2">
      <c r="A602" s="4" t="s">
        <v>100</v>
      </c>
      <c r="B602" s="236"/>
      <c r="C602" s="79">
        <f t="shared" ref="C602:AF602" si="445">(1/C245)*((EXP(C$241*C599)-1)/(EXP(C$242*C599)-1))</f>
        <v>4.8332591611617938E-2</v>
      </c>
      <c r="D602" s="79">
        <f t="shared" si="445"/>
        <v>1.7833071363751705E-2</v>
      </c>
      <c r="E602" s="79">
        <f t="shared" si="445"/>
        <v>4.3012526168447855E-2</v>
      </c>
      <c r="F602" s="79">
        <f t="shared" si="445"/>
        <v>4.9131656849257965E-2</v>
      </c>
      <c r="G602" s="79">
        <f t="shared" si="445"/>
        <v>3.0593514340718053E-2</v>
      </c>
      <c r="H602" s="79">
        <f t="shared" si="445"/>
        <v>4.8145507921051552E-2</v>
      </c>
      <c r="I602" s="79">
        <f t="shared" si="445"/>
        <v>4.5201010702416271E-2</v>
      </c>
      <c r="J602" s="79">
        <f t="shared" si="445"/>
        <v>5.5011678808883052E-2</v>
      </c>
      <c r="K602" s="79">
        <f t="shared" si="445"/>
        <v>4.7130457679919725E-2</v>
      </c>
      <c r="L602" s="79">
        <f t="shared" si="445"/>
        <v>4.7138938899501347E-2</v>
      </c>
      <c r="M602" s="79">
        <f t="shared" si="445"/>
        <v>4.7120283133427456E-2</v>
      </c>
      <c r="N602" s="79">
        <f t="shared" si="445"/>
        <v>4.7084132723787191E-2</v>
      </c>
      <c r="O602" s="79">
        <f t="shared" si="445"/>
        <v>4.7057610348916291E-2</v>
      </c>
      <c r="P602" s="79">
        <f t="shared" si="445"/>
        <v>4.6906227882364683E-2</v>
      </c>
      <c r="Q602" s="79">
        <f t="shared" si="445"/>
        <v>4.6399875711610146E-2</v>
      </c>
      <c r="R602" s="79">
        <f t="shared" si="445"/>
        <v>4.5445603335869174E-2</v>
      </c>
      <c r="S602" s="79">
        <f t="shared" si="445"/>
        <v>4.5778724341902416E-2</v>
      </c>
      <c r="T602" s="79">
        <f t="shared" si="445"/>
        <v>4.6151594897427185E-2</v>
      </c>
      <c r="U602" s="79">
        <f t="shared" si="445"/>
        <v>4.6467372164594935E-2</v>
      </c>
      <c r="V602" s="79">
        <f t="shared" si="445"/>
        <v>4.44351080734601E-2</v>
      </c>
      <c r="W602" s="79">
        <f t="shared" si="445"/>
        <v>4.4648023019329269E-2</v>
      </c>
      <c r="X602" s="79">
        <f t="shared" si="445"/>
        <v>4.6855737107837102E-2</v>
      </c>
      <c r="Y602" s="79">
        <f t="shared" si="445"/>
        <v>4.6910158249717837E-2</v>
      </c>
      <c r="Z602" s="79">
        <f t="shared" si="445"/>
        <v>4.603883290481367E-2</v>
      </c>
      <c r="AA602" s="79">
        <f t="shared" si="445"/>
        <v>0.17248533398358151</v>
      </c>
      <c r="AB602" s="79">
        <f t="shared" si="445"/>
        <v>0.1726400794176034</v>
      </c>
      <c r="AC602" s="79">
        <f t="shared" si="445"/>
        <v>0.17264994127870775</v>
      </c>
      <c r="AD602" s="79">
        <f t="shared" si="445"/>
        <v>0.17268544939948338</v>
      </c>
      <c r="AE602" s="79">
        <f t="shared" si="445"/>
        <v>0.17247055782582141</v>
      </c>
      <c r="AF602" s="79">
        <f t="shared" si="445"/>
        <v>0.17268051720861202</v>
      </c>
      <c r="AG602" s="215"/>
    </row>
    <row r="603" spans="1:33" s="214" customFormat="1" x14ac:dyDescent="0.2">
      <c r="A603" s="4" t="s">
        <v>97</v>
      </c>
      <c r="B603" s="62"/>
      <c r="C603" s="28">
        <f t="shared" ref="C603:AF603" si="446">IF(C$522&gt;C602,C599+((C600-C599)/2),C599-((C599-C601)/2))</f>
        <v>115573406.21948242</v>
      </c>
      <c r="D603" s="28">
        <f t="shared" si="446"/>
        <v>-3174302577.9724121</v>
      </c>
      <c r="E603" s="28">
        <f t="shared" si="446"/>
        <v>-166881084.44213867</v>
      </c>
      <c r="F603" s="28">
        <f t="shared" si="446"/>
        <v>154111385.34545898</v>
      </c>
      <c r="G603" s="28">
        <f t="shared" si="446"/>
        <v>-1099116802.2155762</v>
      </c>
      <c r="H603" s="28">
        <f t="shared" si="446"/>
        <v>106418132.78198242</v>
      </c>
      <c r="I603" s="28">
        <f t="shared" si="446"/>
        <v>-44801235.198974609</v>
      </c>
      <c r="J603" s="28">
        <f t="shared" si="446"/>
        <v>412690639.49584961</v>
      </c>
      <c r="K603" s="28">
        <f t="shared" si="446"/>
        <v>55849552.154541016</v>
      </c>
      <c r="L603" s="28">
        <f t="shared" si="446"/>
        <v>56264400.482177734</v>
      </c>
      <c r="M603" s="28">
        <f t="shared" si="446"/>
        <v>55334568.023681641</v>
      </c>
      <c r="N603" s="28">
        <f t="shared" si="446"/>
        <v>53489208.221435547</v>
      </c>
      <c r="O603" s="28">
        <f t="shared" si="446"/>
        <v>52144527.435302734</v>
      </c>
      <c r="P603" s="28">
        <f t="shared" si="446"/>
        <v>44462680.816650391</v>
      </c>
      <c r="Q603" s="28">
        <f t="shared" si="446"/>
        <v>18455982.208251953</v>
      </c>
      <c r="R603" s="28">
        <f t="shared" si="446"/>
        <v>-31697750.091552734</v>
      </c>
      <c r="S603" s="28">
        <f t="shared" si="446"/>
        <v>-14016628.265380859</v>
      </c>
      <c r="T603" s="28">
        <f t="shared" si="446"/>
        <v>5552768.7072753906</v>
      </c>
      <c r="U603" s="28">
        <f t="shared" si="446"/>
        <v>21932125.091552734</v>
      </c>
      <c r="V603" s="28">
        <f t="shared" si="446"/>
        <v>-86529254.913330078</v>
      </c>
      <c r="W603" s="28">
        <f t="shared" si="446"/>
        <v>-74827671.051025391</v>
      </c>
      <c r="X603" s="28">
        <f t="shared" si="446"/>
        <v>41873455.047607422</v>
      </c>
      <c r="Y603" s="28">
        <f t="shared" si="446"/>
        <v>44648647.308349609</v>
      </c>
      <c r="Z603" s="28">
        <f t="shared" si="446"/>
        <v>-355243.68286132812</v>
      </c>
      <c r="AA603" s="28">
        <f t="shared" si="446"/>
        <v>2581908702.8503418</v>
      </c>
      <c r="AB603" s="28">
        <f t="shared" si="446"/>
        <v>2583401203.1555176</v>
      </c>
      <c r="AC603" s="28">
        <f t="shared" si="446"/>
        <v>2583496570.5871582</v>
      </c>
      <c r="AD603" s="28">
        <f t="shared" si="446"/>
        <v>2583839893.3410645</v>
      </c>
      <c r="AE603" s="28">
        <f t="shared" si="446"/>
        <v>2581760883.3312988</v>
      </c>
      <c r="AF603" s="28">
        <f t="shared" si="446"/>
        <v>2583792209.6252441</v>
      </c>
      <c r="AG603" s="48"/>
    </row>
    <row r="604" spans="1:33" s="214" customFormat="1" x14ac:dyDescent="0.2">
      <c r="A604" s="4" t="s">
        <v>98</v>
      </c>
      <c r="B604" s="62"/>
      <c r="C604" s="28">
        <f>IF(C$522&lt;C602,C599,C600)</f>
        <v>115580558.77685547</v>
      </c>
      <c r="D604" s="28">
        <f t="shared" ref="D604:AF604" si="447">IF(D$522&lt;D602,D599,D600)</f>
        <v>-3174295425.4150391</v>
      </c>
      <c r="E604" s="28">
        <f t="shared" si="447"/>
        <v>-166873931.88476562</v>
      </c>
      <c r="F604" s="28">
        <f t="shared" si="447"/>
        <v>154118537.90283203</v>
      </c>
      <c r="G604" s="28">
        <f t="shared" si="447"/>
        <v>-1099109649.6582031</v>
      </c>
      <c r="H604" s="28">
        <f t="shared" si="447"/>
        <v>106425285.33935547</v>
      </c>
      <c r="I604" s="28">
        <f t="shared" si="447"/>
        <v>-44794082.641601562</v>
      </c>
      <c r="J604" s="28">
        <f t="shared" si="447"/>
        <v>412697792.05322266</v>
      </c>
      <c r="K604" s="28">
        <f t="shared" si="447"/>
        <v>55856704.711914062</v>
      </c>
      <c r="L604" s="28">
        <f t="shared" si="447"/>
        <v>56271553.039550781</v>
      </c>
      <c r="M604" s="28">
        <f t="shared" si="447"/>
        <v>55341720.581054688</v>
      </c>
      <c r="N604" s="28">
        <f t="shared" si="447"/>
        <v>53496360.778808594</v>
      </c>
      <c r="O604" s="28">
        <f t="shared" si="447"/>
        <v>52151679.992675781</v>
      </c>
      <c r="P604" s="28">
        <f t="shared" si="447"/>
        <v>44469833.374023438</v>
      </c>
      <c r="Q604" s="28">
        <f t="shared" si="447"/>
        <v>18463134.765625</v>
      </c>
      <c r="R604" s="28">
        <f t="shared" si="447"/>
        <v>-31690597.534179688</v>
      </c>
      <c r="S604" s="28">
        <f t="shared" si="447"/>
        <v>-14009475.708007812</v>
      </c>
      <c r="T604" s="28">
        <f t="shared" si="447"/>
        <v>5559921.2646484375</v>
      </c>
      <c r="U604" s="28">
        <f t="shared" si="447"/>
        <v>21939277.648925781</v>
      </c>
      <c r="V604" s="28">
        <f t="shared" si="447"/>
        <v>-86522102.355957031</v>
      </c>
      <c r="W604" s="28">
        <f t="shared" si="447"/>
        <v>-74820518.493652344</v>
      </c>
      <c r="X604" s="28">
        <f t="shared" si="447"/>
        <v>41880607.604980469</v>
      </c>
      <c r="Y604" s="28">
        <f t="shared" si="447"/>
        <v>44655799.865722656</v>
      </c>
      <c r="Z604" s="28">
        <f t="shared" si="447"/>
        <v>-348091.12548828125</v>
      </c>
      <c r="AA604" s="28">
        <f t="shared" si="447"/>
        <v>2581911087.0361328</v>
      </c>
      <c r="AB604" s="28">
        <f t="shared" si="447"/>
        <v>2583403587.3413086</v>
      </c>
      <c r="AC604" s="28">
        <f t="shared" si="447"/>
        <v>2583498954.7729492</v>
      </c>
      <c r="AD604" s="28">
        <f t="shared" si="447"/>
        <v>2583842277.5268555</v>
      </c>
      <c r="AE604" s="28">
        <f t="shared" si="447"/>
        <v>2581763267.5170898</v>
      </c>
      <c r="AF604" s="28">
        <f t="shared" si="447"/>
        <v>2583794593.8110352</v>
      </c>
      <c r="AG604" s="48"/>
    </row>
    <row r="605" spans="1:33" s="214" customFormat="1" x14ac:dyDescent="0.2">
      <c r="A605" s="4" t="s">
        <v>99</v>
      </c>
      <c r="B605" s="62"/>
      <c r="C605" s="28">
        <f>IF(C$522&gt;C602,C599,C601)</f>
        <v>115566253.66210938</v>
      </c>
      <c r="D605" s="28">
        <f t="shared" ref="D605:AF605" si="448">IF(D$522&gt;D602,D599,D601)</f>
        <v>-3174309730.5297852</v>
      </c>
      <c r="E605" s="28">
        <f t="shared" si="448"/>
        <v>-166888236.99951172</v>
      </c>
      <c r="F605" s="28">
        <f t="shared" si="448"/>
        <v>154104232.78808594</v>
      </c>
      <c r="G605" s="28">
        <f t="shared" si="448"/>
        <v>-1099123954.7729492</v>
      </c>
      <c r="H605" s="28">
        <f t="shared" si="448"/>
        <v>106410980.22460938</v>
      </c>
      <c r="I605" s="28">
        <f t="shared" si="448"/>
        <v>-44808387.756347656</v>
      </c>
      <c r="J605" s="28">
        <f t="shared" si="448"/>
        <v>412683486.93847656</v>
      </c>
      <c r="K605" s="28">
        <f t="shared" si="448"/>
        <v>55842399.597167969</v>
      </c>
      <c r="L605" s="28">
        <f t="shared" si="448"/>
        <v>56257247.924804688</v>
      </c>
      <c r="M605" s="28">
        <f t="shared" si="448"/>
        <v>55327415.466308594</v>
      </c>
      <c r="N605" s="28">
        <f t="shared" si="448"/>
        <v>53482055.6640625</v>
      </c>
      <c r="O605" s="28">
        <f t="shared" si="448"/>
        <v>52137374.877929688</v>
      </c>
      <c r="P605" s="28">
        <f t="shared" si="448"/>
        <v>44455528.259277344</v>
      </c>
      <c r="Q605" s="28">
        <f t="shared" si="448"/>
        <v>18448829.650878906</v>
      </c>
      <c r="R605" s="28">
        <f t="shared" si="448"/>
        <v>-31704902.648925781</v>
      </c>
      <c r="S605" s="28">
        <f t="shared" si="448"/>
        <v>-14023780.822753906</v>
      </c>
      <c r="T605" s="28">
        <f t="shared" si="448"/>
        <v>5545616.1499023438</v>
      </c>
      <c r="U605" s="28">
        <f t="shared" si="448"/>
        <v>21924972.534179688</v>
      </c>
      <c r="V605" s="28">
        <f t="shared" si="448"/>
        <v>-86536407.470703125</v>
      </c>
      <c r="W605" s="28">
        <f t="shared" si="448"/>
        <v>-74834823.608398438</v>
      </c>
      <c r="X605" s="28">
        <f t="shared" si="448"/>
        <v>41866302.490234375</v>
      </c>
      <c r="Y605" s="28">
        <f t="shared" si="448"/>
        <v>44641494.750976562</v>
      </c>
      <c r="Z605" s="28">
        <f t="shared" si="448"/>
        <v>-362396.240234375</v>
      </c>
      <c r="AA605" s="28">
        <f t="shared" si="448"/>
        <v>2581906318.6645508</v>
      </c>
      <c r="AB605" s="28">
        <f t="shared" si="448"/>
        <v>2583398818.9697266</v>
      </c>
      <c r="AC605" s="28">
        <f t="shared" si="448"/>
        <v>2583494186.4013672</v>
      </c>
      <c r="AD605" s="28">
        <f t="shared" si="448"/>
        <v>2583837509.1552734</v>
      </c>
      <c r="AE605" s="28">
        <f t="shared" si="448"/>
        <v>2581758499.1455078</v>
      </c>
      <c r="AF605" s="28">
        <f t="shared" si="448"/>
        <v>2583789825.4394531</v>
      </c>
      <c r="AG605" s="48"/>
    </row>
    <row r="606" spans="1:33" s="47" customFormat="1" x14ac:dyDescent="0.2">
      <c r="A606" s="4" t="s">
        <v>100</v>
      </c>
      <c r="B606" s="236"/>
      <c r="C606" s="79">
        <f t="shared" ref="C606:AF606" si="449">(1/C245)*((EXP(C$241*C603)-1)/(EXP(C$242*C603)-1))</f>
        <v>4.833244504454156E-2</v>
      </c>
      <c r="D606" s="79">
        <f t="shared" si="449"/>
        <v>1.7833096696185088E-2</v>
      </c>
      <c r="E606" s="79">
        <f t="shared" si="449"/>
        <v>4.3012649755871546E-2</v>
      </c>
      <c r="F606" s="79">
        <f t="shared" si="449"/>
        <v>4.9131506792534307E-2</v>
      </c>
      <c r="G606" s="79">
        <f t="shared" si="449"/>
        <v>3.0593586533269886E-2</v>
      </c>
      <c r="H606" s="79">
        <f t="shared" si="449"/>
        <v>4.8145362169653733E-2</v>
      </c>
      <c r="I606" s="79">
        <f t="shared" si="449"/>
        <v>4.5201143687087497E-2</v>
      </c>
      <c r="J606" s="79">
        <f t="shared" si="449"/>
        <v>5.5011502807955345E-2</v>
      </c>
      <c r="K606" s="79">
        <f t="shared" si="449"/>
        <v>4.713059901546883E-2</v>
      </c>
      <c r="L606" s="79">
        <f t="shared" si="449"/>
        <v>4.7138797527729169E-2</v>
      </c>
      <c r="M606" s="79">
        <f t="shared" si="449"/>
        <v>4.7120424424785999E-2</v>
      </c>
      <c r="N606" s="79">
        <f t="shared" si="449"/>
        <v>4.708399159003767E-2</v>
      </c>
      <c r="O606" s="79">
        <f t="shared" si="449"/>
        <v>4.7057469330337075E-2</v>
      </c>
      <c r="P606" s="79">
        <f t="shared" si="449"/>
        <v>4.6906368244403994E-2</v>
      </c>
      <c r="Q606" s="79">
        <f t="shared" si="449"/>
        <v>4.6400013878159334E-2</v>
      </c>
      <c r="R606" s="79">
        <f t="shared" si="449"/>
        <v>4.5445737375854126E-2</v>
      </c>
      <c r="S606" s="79">
        <f t="shared" si="449"/>
        <v>4.577885982073867E-2</v>
      </c>
      <c r="T606" s="79">
        <f t="shared" si="449"/>
        <v>4.6151731988935921E-2</v>
      </c>
      <c r="U606" s="79">
        <f t="shared" si="449"/>
        <v>4.6467233706221467E-2</v>
      </c>
      <c r="V606" s="79">
        <f t="shared" si="449"/>
        <v>4.4434978387456164E-2</v>
      </c>
      <c r="W606" s="79">
        <f t="shared" si="449"/>
        <v>4.4647892417470837E-2</v>
      </c>
      <c r="X606" s="79">
        <f t="shared" si="449"/>
        <v>4.6855596965508527E-2</v>
      </c>
      <c r="Y606" s="79">
        <f t="shared" si="449"/>
        <v>4.6910017871230246E-2</v>
      </c>
      <c r="Z606" s="79">
        <f t="shared" si="449"/>
        <v>4.603869630184447E-2</v>
      </c>
      <c r="AA606" s="79">
        <f t="shared" si="449"/>
        <v>0.17248558026534158</v>
      </c>
      <c r="AB606" s="79">
        <f t="shared" si="449"/>
        <v>0.17263983287946302</v>
      </c>
      <c r="AC606" s="79">
        <f t="shared" si="449"/>
        <v>0.1726496947242018</v>
      </c>
      <c r="AD606" s="79">
        <f t="shared" si="449"/>
        <v>0.17268520278605196</v>
      </c>
      <c r="AE606" s="79">
        <f t="shared" si="449"/>
        <v>0.17247031156898912</v>
      </c>
      <c r="AF606" s="79">
        <f t="shared" si="449"/>
        <v>0.1726802706033656</v>
      </c>
      <c r="AG606" s="215"/>
    </row>
    <row r="607" spans="1:33" s="214" customFormat="1" x14ac:dyDescent="0.2">
      <c r="A607" s="4" t="s">
        <v>97</v>
      </c>
      <c r="B607" s="62"/>
      <c r="C607" s="28">
        <f t="shared" ref="C607:AF607" si="450">IF(C$522&gt;C606,C603+((C604-C603)/2),C603-((C603-C605)/2))</f>
        <v>115576982.49816895</v>
      </c>
      <c r="D607" s="28">
        <f t="shared" si="450"/>
        <v>-3174299001.6937256</v>
      </c>
      <c r="E607" s="28">
        <f t="shared" si="450"/>
        <v>-166884660.7208252</v>
      </c>
      <c r="F607" s="28">
        <f t="shared" si="450"/>
        <v>154114961.62414551</v>
      </c>
      <c r="G607" s="28">
        <f t="shared" si="450"/>
        <v>-1099120378.4942627</v>
      </c>
      <c r="H607" s="28">
        <f t="shared" si="450"/>
        <v>106414556.5032959</v>
      </c>
      <c r="I607" s="28">
        <f t="shared" si="450"/>
        <v>-44804811.477661133</v>
      </c>
      <c r="J607" s="28">
        <f t="shared" si="450"/>
        <v>412687063.21716309</v>
      </c>
      <c r="K607" s="28">
        <f t="shared" si="450"/>
        <v>55853128.433227539</v>
      </c>
      <c r="L607" s="28">
        <f t="shared" si="450"/>
        <v>56260824.203491211</v>
      </c>
      <c r="M607" s="28">
        <f t="shared" si="450"/>
        <v>55330991.744995117</v>
      </c>
      <c r="N607" s="28">
        <f t="shared" si="450"/>
        <v>53485631.942749023</v>
      </c>
      <c r="O607" s="28">
        <f t="shared" si="450"/>
        <v>52148103.713989258</v>
      </c>
      <c r="P607" s="28">
        <f t="shared" si="450"/>
        <v>44459104.537963867</v>
      </c>
      <c r="Q607" s="28">
        <f t="shared" si="450"/>
        <v>18452405.92956543</v>
      </c>
      <c r="R607" s="28">
        <f t="shared" si="450"/>
        <v>-31701326.370239258</v>
      </c>
      <c r="S607" s="28">
        <f t="shared" si="450"/>
        <v>-14013051.986694336</v>
      </c>
      <c r="T607" s="28">
        <f t="shared" si="450"/>
        <v>5549192.4285888672</v>
      </c>
      <c r="U607" s="28">
        <f t="shared" si="450"/>
        <v>21935701.370239258</v>
      </c>
      <c r="V607" s="28">
        <f t="shared" si="450"/>
        <v>-86525678.634643555</v>
      </c>
      <c r="W607" s="28">
        <f t="shared" si="450"/>
        <v>-74831247.329711914</v>
      </c>
      <c r="X607" s="28">
        <f t="shared" si="450"/>
        <v>41877031.326293945</v>
      </c>
      <c r="Y607" s="28">
        <f t="shared" si="450"/>
        <v>44652223.587036133</v>
      </c>
      <c r="Z607" s="28">
        <f t="shared" si="450"/>
        <v>-358819.96154785156</v>
      </c>
      <c r="AA607" s="28">
        <f t="shared" si="450"/>
        <v>2581909894.9432373</v>
      </c>
      <c r="AB607" s="28">
        <f t="shared" si="450"/>
        <v>2583400011.0626221</v>
      </c>
      <c r="AC607" s="28">
        <f t="shared" si="450"/>
        <v>2583495378.4942627</v>
      </c>
      <c r="AD607" s="28">
        <f t="shared" si="450"/>
        <v>2583838701.2481689</v>
      </c>
      <c r="AE607" s="28">
        <f t="shared" si="450"/>
        <v>2581759691.2384033</v>
      </c>
      <c r="AF607" s="28">
        <f t="shared" si="450"/>
        <v>2583791017.5323486</v>
      </c>
      <c r="AG607" s="48"/>
    </row>
    <row r="608" spans="1:33" s="214" customFormat="1" x14ac:dyDescent="0.2">
      <c r="A608" s="4" t="s">
        <v>98</v>
      </c>
      <c r="B608" s="62"/>
      <c r="C608" s="28">
        <f>IF(C$522&lt;C606,C603,C604)</f>
        <v>115580558.77685547</v>
      </c>
      <c r="D608" s="28">
        <f t="shared" ref="D608:AF608" si="451">IF(D$522&lt;D606,D603,D604)</f>
        <v>-3174295425.4150391</v>
      </c>
      <c r="E608" s="28">
        <f t="shared" si="451"/>
        <v>-166881084.44213867</v>
      </c>
      <c r="F608" s="28">
        <f t="shared" si="451"/>
        <v>154118537.90283203</v>
      </c>
      <c r="G608" s="28">
        <f t="shared" si="451"/>
        <v>-1099116802.2155762</v>
      </c>
      <c r="H608" s="28">
        <f t="shared" si="451"/>
        <v>106418132.78198242</v>
      </c>
      <c r="I608" s="28">
        <f t="shared" si="451"/>
        <v>-44801235.198974609</v>
      </c>
      <c r="J608" s="28">
        <f t="shared" si="451"/>
        <v>412690639.49584961</v>
      </c>
      <c r="K608" s="28">
        <f t="shared" si="451"/>
        <v>55856704.711914062</v>
      </c>
      <c r="L608" s="28">
        <f t="shared" si="451"/>
        <v>56264400.482177734</v>
      </c>
      <c r="M608" s="28">
        <f t="shared" si="451"/>
        <v>55334568.023681641</v>
      </c>
      <c r="N608" s="28">
        <f t="shared" si="451"/>
        <v>53489208.221435547</v>
      </c>
      <c r="O608" s="28">
        <f t="shared" si="451"/>
        <v>52151679.992675781</v>
      </c>
      <c r="P608" s="28">
        <f t="shared" si="451"/>
        <v>44462680.816650391</v>
      </c>
      <c r="Q608" s="28">
        <f t="shared" si="451"/>
        <v>18455982.208251953</v>
      </c>
      <c r="R608" s="28">
        <f t="shared" si="451"/>
        <v>-31697750.091552734</v>
      </c>
      <c r="S608" s="28">
        <f t="shared" si="451"/>
        <v>-14009475.708007812</v>
      </c>
      <c r="T608" s="28">
        <f t="shared" si="451"/>
        <v>5552768.7072753906</v>
      </c>
      <c r="U608" s="28">
        <f t="shared" si="451"/>
        <v>21939277.648925781</v>
      </c>
      <c r="V608" s="28">
        <f t="shared" si="451"/>
        <v>-86522102.355957031</v>
      </c>
      <c r="W608" s="28">
        <f t="shared" si="451"/>
        <v>-74827671.051025391</v>
      </c>
      <c r="X608" s="28">
        <f t="shared" si="451"/>
        <v>41880607.604980469</v>
      </c>
      <c r="Y608" s="28">
        <f t="shared" si="451"/>
        <v>44655799.865722656</v>
      </c>
      <c r="Z608" s="28">
        <f t="shared" si="451"/>
        <v>-355243.68286132812</v>
      </c>
      <c r="AA608" s="28">
        <f t="shared" si="451"/>
        <v>2581911087.0361328</v>
      </c>
      <c r="AB608" s="28">
        <f t="shared" si="451"/>
        <v>2583401203.1555176</v>
      </c>
      <c r="AC608" s="28">
        <f t="shared" si="451"/>
        <v>2583496570.5871582</v>
      </c>
      <c r="AD608" s="28">
        <f t="shared" si="451"/>
        <v>2583839893.3410645</v>
      </c>
      <c r="AE608" s="28">
        <f t="shared" si="451"/>
        <v>2581760883.3312988</v>
      </c>
      <c r="AF608" s="28">
        <f t="shared" si="451"/>
        <v>2583792209.6252441</v>
      </c>
      <c r="AG608" s="48"/>
    </row>
    <row r="609" spans="1:33" s="214" customFormat="1" x14ac:dyDescent="0.2">
      <c r="A609" s="4" t="s">
        <v>99</v>
      </c>
      <c r="B609" s="62"/>
      <c r="C609" s="28">
        <f>IF(C$522&gt;C606,C603,C605)</f>
        <v>115573406.21948242</v>
      </c>
      <c r="D609" s="28">
        <f t="shared" ref="D609:AF609" si="452">IF(D$522&gt;D606,D603,D605)</f>
        <v>-3174302577.9724121</v>
      </c>
      <c r="E609" s="28">
        <f t="shared" si="452"/>
        <v>-166888236.99951172</v>
      </c>
      <c r="F609" s="28">
        <f t="shared" si="452"/>
        <v>154111385.34545898</v>
      </c>
      <c r="G609" s="28">
        <f t="shared" si="452"/>
        <v>-1099123954.7729492</v>
      </c>
      <c r="H609" s="28">
        <f t="shared" si="452"/>
        <v>106410980.22460938</v>
      </c>
      <c r="I609" s="28">
        <f t="shared" si="452"/>
        <v>-44808387.756347656</v>
      </c>
      <c r="J609" s="28">
        <f t="shared" si="452"/>
        <v>412683486.93847656</v>
      </c>
      <c r="K609" s="28">
        <f t="shared" si="452"/>
        <v>55849552.154541016</v>
      </c>
      <c r="L609" s="28">
        <f t="shared" si="452"/>
        <v>56257247.924804688</v>
      </c>
      <c r="M609" s="28">
        <f t="shared" si="452"/>
        <v>55327415.466308594</v>
      </c>
      <c r="N609" s="28">
        <f t="shared" si="452"/>
        <v>53482055.6640625</v>
      </c>
      <c r="O609" s="28">
        <f t="shared" si="452"/>
        <v>52144527.435302734</v>
      </c>
      <c r="P609" s="28">
        <f t="shared" si="452"/>
        <v>44455528.259277344</v>
      </c>
      <c r="Q609" s="28">
        <f t="shared" si="452"/>
        <v>18448829.650878906</v>
      </c>
      <c r="R609" s="28">
        <f t="shared" si="452"/>
        <v>-31704902.648925781</v>
      </c>
      <c r="S609" s="28">
        <f t="shared" si="452"/>
        <v>-14016628.265380859</v>
      </c>
      <c r="T609" s="28">
        <f t="shared" si="452"/>
        <v>5545616.1499023438</v>
      </c>
      <c r="U609" s="28">
        <f t="shared" si="452"/>
        <v>21932125.091552734</v>
      </c>
      <c r="V609" s="28">
        <f t="shared" si="452"/>
        <v>-86529254.913330078</v>
      </c>
      <c r="W609" s="28">
        <f t="shared" si="452"/>
        <v>-74834823.608398438</v>
      </c>
      <c r="X609" s="28">
        <f t="shared" si="452"/>
        <v>41873455.047607422</v>
      </c>
      <c r="Y609" s="28">
        <f t="shared" si="452"/>
        <v>44648647.308349609</v>
      </c>
      <c r="Z609" s="28">
        <f t="shared" si="452"/>
        <v>-362396.240234375</v>
      </c>
      <c r="AA609" s="28">
        <f t="shared" si="452"/>
        <v>2581908702.8503418</v>
      </c>
      <c r="AB609" s="28">
        <f t="shared" si="452"/>
        <v>2583398818.9697266</v>
      </c>
      <c r="AC609" s="28">
        <f t="shared" si="452"/>
        <v>2583494186.4013672</v>
      </c>
      <c r="AD609" s="28">
        <f t="shared" si="452"/>
        <v>2583837509.1552734</v>
      </c>
      <c r="AE609" s="28">
        <f t="shared" si="452"/>
        <v>2581758499.1455078</v>
      </c>
      <c r="AF609" s="28">
        <f t="shared" si="452"/>
        <v>2583789825.4394531</v>
      </c>
      <c r="AG609" s="48"/>
    </row>
    <row r="610" spans="1:33" s="47" customFormat="1" x14ac:dyDescent="0.2">
      <c r="A610" s="4" t="s">
        <v>100</v>
      </c>
      <c r="B610" s="236"/>
      <c r="C610" s="79">
        <f t="shared" ref="C610:AF610" si="453">(1/C245)*((EXP(C$241*C607)-1)/(EXP(C$242*C607)-1))</f>
        <v>4.8332518328000063E-2</v>
      </c>
      <c r="D610" s="79">
        <f t="shared" si="453"/>
        <v>1.7833109362432618E-2</v>
      </c>
      <c r="E610" s="79">
        <f t="shared" si="453"/>
        <v>4.3012587962093583E-2</v>
      </c>
      <c r="F610" s="79">
        <f t="shared" si="453"/>
        <v>4.9131581820813945E-2</v>
      </c>
      <c r="G610" s="79">
        <f t="shared" si="453"/>
        <v>3.0593550436958133E-2</v>
      </c>
      <c r="H610" s="79">
        <f t="shared" si="453"/>
        <v>4.8145289294192893E-2</v>
      </c>
      <c r="I610" s="79">
        <f t="shared" si="453"/>
        <v>4.52010771946805E-2</v>
      </c>
      <c r="J610" s="79">
        <f t="shared" si="453"/>
        <v>5.5011414807785139E-2</v>
      </c>
      <c r="K610" s="79">
        <f t="shared" si="453"/>
        <v>4.713066968347307E-2</v>
      </c>
      <c r="L610" s="79">
        <f t="shared" si="453"/>
        <v>4.7138726842073105E-2</v>
      </c>
      <c r="M610" s="79">
        <f t="shared" si="453"/>
        <v>4.7120353779030601E-2</v>
      </c>
      <c r="N610" s="79">
        <f t="shared" si="453"/>
        <v>4.7083921023393295E-2</v>
      </c>
      <c r="O610" s="79">
        <f t="shared" si="453"/>
        <v>4.7057539839550494E-2</v>
      </c>
      <c r="P610" s="79">
        <f t="shared" si="453"/>
        <v>4.6906298063308503E-2</v>
      </c>
      <c r="Q610" s="79">
        <f t="shared" si="453"/>
        <v>4.639994479480998E-2</v>
      </c>
      <c r="R610" s="79">
        <f t="shared" si="453"/>
        <v>4.5445670355788989E-2</v>
      </c>
      <c r="S610" s="79">
        <f t="shared" si="453"/>
        <v>4.5778927560377061E-2</v>
      </c>
      <c r="T610" s="79">
        <f t="shared" si="453"/>
        <v>4.6151663443105902E-2</v>
      </c>
      <c r="U610" s="79">
        <f t="shared" si="453"/>
        <v>4.6467302935332001E-2</v>
      </c>
      <c r="V610" s="79">
        <f t="shared" si="453"/>
        <v>4.4435043230388285E-2</v>
      </c>
      <c r="W610" s="79">
        <f t="shared" si="453"/>
        <v>4.4647827116752477E-2</v>
      </c>
      <c r="X610" s="79">
        <f t="shared" si="453"/>
        <v>4.6855667036596875E-2</v>
      </c>
      <c r="Y610" s="79">
        <f t="shared" si="453"/>
        <v>4.6910088060397946E-2</v>
      </c>
      <c r="Z610" s="79">
        <f t="shared" si="453"/>
        <v>4.6038628000619301E-2</v>
      </c>
      <c r="AA610" s="79">
        <f t="shared" si="453"/>
        <v>0.17248570340637498</v>
      </c>
      <c r="AB610" s="79">
        <f t="shared" si="453"/>
        <v>0.17263970961054634</v>
      </c>
      <c r="AC610" s="79">
        <f t="shared" si="453"/>
        <v>0.17264957144710233</v>
      </c>
      <c r="AD610" s="79">
        <f t="shared" si="453"/>
        <v>0.17268507947948974</v>
      </c>
      <c r="AE610" s="79">
        <f t="shared" si="453"/>
        <v>0.17247018844072609</v>
      </c>
      <c r="AF610" s="79">
        <f t="shared" si="453"/>
        <v>0.17268014730089579</v>
      </c>
      <c r="AG610" s="215"/>
    </row>
    <row r="611" spans="1:33" s="214" customFormat="1" x14ac:dyDescent="0.2">
      <c r="A611" s="4" t="s">
        <v>97</v>
      </c>
      <c r="B611" s="62"/>
      <c r="C611" s="28">
        <f t="shared" ref="C611:AF611" si="454">IF(C$522&gt;C610,C607+((C608-C607)/2),C607-((C607-C609)/2))</f>
        <v>115578770.63751221</v>
      </c>
      <c r="D611" s="28">
        <f t="shared" si="454"/>
        <v>-3174300789.8330688</v>
      </c>
      <c r="E611" s="28">
        <f t="shared" si="454"/>
        <v>-166882872.58148193</v>
      </c>
      <c r="F611" s="28">
        <f t="shared" si="454"/>
        <v>154116749.76348877</v>
      </c>
      <c r="G611" s="28">
        <f t="shared" si="454"/>
        <v>-1099118590.3549194</v>
      </c>
      <c r="H611" s="28">
        <f t="shared" si="454"/>
        <v>106412768.36395264</v>
      </c>
      <c r="I611" s="28">
        <f t="shared" si="454"/>
        <v>-44803023.338317871</v>
      </c>
      <c r="J611" s="28">
        <f t="shared" si="454"/>
        <v>412685275.07781982</v>
      </c>
      <c r="K611" s="28">
        <f t="shared" si="454"/>
        <v>55854916.572570801</v>
      </c>
      <c r="L611" s="28">
        <f t="shared" si="454"/>
        <v>56262612.342834473</v>
      </c>
      <c r="M611" s="28">
        <f t="shared" si="454"/>
        <v>55332779.884338379</v>
      </c>
      <c r="N611" s="28">
        <f t="shared" si="454"/>
        <v>53487420.082092285</v>
      </c>
      <c r="O611" s="28">
        <f t="shared" si="454"/>
        <v>52146315.574645996</v>
      </c>
      <c r="P611" s="28">
        <f t="shared" si="454"/>
        <v>44457316.398620605</v>
      </c>
      <c r="Q611" s="28">
        <f t="shared" si="454"/>
        <v>18450617.790222168</v>
      </c>
      <c r="R611" s="28">
        <f t="shared" si="454"/>
        <v>-31703114.50958252</v>
      </c>
      <c r="S611" s="28">
        <f t="shared" si="454"/>
        <v>-14014840.126037598</v>
      </c>
      <c r="T611" s="28">
        <f t="shared" si="454"/>
        <v>5550980.5679321289</v>
      </c>
      <c r="U611" s="28">
        <f t="shared" si="454"/>
        <v>21937489.50958252</v>
      </c>
      <c r="V611" s="28">
        <f t="shared" si="454"/>
        <v>-86523890.495300293</v>
      </c>
      <c r="W611" s="28">
        <f t="shared" si="454"/>
        <v>-74829459.190368652</v>
      </c>
      <c r="X611" s="28">
        <f t="shared" si="454"/>
        <v>41875243.186950684</v>
      </c>
      <c r="Y611" s="28">
        <f t="shared" si="454"/>
        <v>44650435.447692871</v>
      </c>
      <c r="Z611" s="28">
        <f t="shared" si="454"/>
        <v>-360608.10089111328</v>
      </c>
      <c r="AA611" s="28">
        <f t="shared" si="454"/>
        <v>2581910490.9896851</v>
      </c>
      <c r="AB611" s="28">
        <f t="shared" si="454"/>
        <v>2583400607.1090698</v>
      </c>
      <c r="AC611" s="28">
        <f t="shared" si="454"/>
        <v>2583494782.4478149</v>
      </c>
      <c r="AD611" s="28">
        <f t="shared" si="454"/>
        <v>2583838105.2017212</v>
      </c>
      <c r="AE611" s="28">
        <f t="shared" si="454"/>
        <v>2581760287.2848511</v>
      </c>
      <c r="AF611" s="28">
        <f t="shared" si="454"/>
        <v>2583791613.5787964</v>
      </c>
      <c r="AG611" s="48"/>
    </row>
    <row r="612" spans="1:33" s="214" customFormat="1" x14ac:dyDescent="0.2">
      <c r="A612" s="4" t="s">
        <v>98</v>
      </c>
      <c r="B612" s="62"/>
      <c r="C612" s="28">
        <f>IF(C$522&lt;C610,C607,C608)</f>
        <v>115580558.77685547</v>
      </c>
      <c r="D612" s="28">
        <f t="shared" ref="D612:AF612" si="455">IF(D$522&lt;D610,D607,D608)</f>
        <v>-3174299001.6937256</v>
      </c>
      <c r="E612" s="28">
        <f t="shared" si="455"/>
        <v>-166881084.44213867</v>
      </c>
      <c r="F612" s="28">
        <f t="shared" si="455"/>
        <v>154118537.90283203</v>
      </c>
      <c r="G612" s="28">
        <f t="shared" si="455"/>
        <v>-1099116802.2155762</v>
      </c>
      <c r="H612" s="28">
        <f t="shared" si="455"/>
        <v>106414556.5032959</v>
      </c>
      <c r="I612" s="28">
        <f t="shared" si="455"/>
        <v>-44801235.198974609</v>
      </c>
      <c r="J612" s="28">
        <f t="shared" si="455"/>
        <v>412687063.21716309</v>
      </c>
      <c r="K612" s="28">
        <f t="shared" si="455"/>
        <v>55856704.711914062</v>
      </c>
      <c r="L612" s="28">
        <f t="shared" si="455"/>
        <v>56264400.482177734</v>
      </c>
      <c r="M612" s="28">
        <f t="shared" si="455"/>
        <v>55334568.023681641</v>
      </c>
      <c r="N612" s="28">
        <f t="shared" si="455"/>
        <v>53489208.221435547</v>
      </c>
      <c r="O612" s="28">
        <f t="shared" si="455"/>
        <v>52148103.713989258</v>
      </c>
      <c r="P612" s="28">
        <f t="shared" si="455"/>
        <v>44459104.537963867</v>
      </c>
      <c r="Q612" s="28">
        <f t="shared" si="455"/>
        <v>18452405.92956543</v>
      </c>
      <c r="R612" s="28">
        <f t="shared" si="455"/>
        <v>-31701326.370239258</v>
      </c>
      <c r="S612" s="28">
        <f t="shared" si="455"/>
        <v>-14013051.986694336</v>
      </c>
      <c r="T612" s="28">
        <f t="shared" si="455"/>
        <v>5552768.7072753906</v>
      </c>
      <c r="U612" s="28">
        <f t="shared" si="455"/>
        <v>21939277.648925781</v>
      </c>
      <c r="V612" s="28">
        <f t="shared" si="455"/>
        <v>-86522102.355957031</v>
      </c>
      <c r="W612" s="28">
        <f t="shared" si="455"/>
        <v>-74827671.051025391</v>
      </c>
      <c r="X612" s="28">
        <f t="shared" si="455"/>
        <v>41877031.326293945</v>
      </c>
      <c r="Y612" s="28">
        <f t="shared" si="455"/>
        <v>44652223.587036133</v>
      </c>
      <c r="Z612" s="28">
        <f t="shared" si="455"/>
        <v>-358819.96154785156</v>
      </c>
      <c r="AA612" s="28">
        <f t="shared" si="455"/>
        <v>2581911087.0361328</v>
      </c>
      <c r="AB612" s="28">
        <f t="shared" si="455"/>
        <v>2583401203.1555176</v>
      </c>
      <c r="AC612" s="28">
        <f t="shared" si="455"/>
        <v>2583495378.4942627</v>
      </c>
      <c r="AD612" s="28">
        <f t="shared" si="455"/>
        <v>2583838701.2481689</v>
      </c>
      <c r="AE612" s="28">
        <f t="shared" si="455"/>
        <v>2581760883.3312988</v>
      </c>
      <c r="AF612" s="28">
        <f t="shared" si="455"/>
        <v>2583792209.6252441</v>
      </c>
      <c r="AG612" s="48"/>
    </row>
    <row r="613" spans="1:33" s="214" customFormat="1" x14ac:dyDescent="0.2">
      <c r="A613" s="4" t="s">
        <v>99</v>
      </c>
      <c r="B613" s="62"/>
      <c r="C613" s="28">
        <f>IF(C$522&gt;C610,C607,C609)</f>
        <v>115576982.49816895</v>
      </c>
      <c r="D613" s="28">
        <f t="shared" ref="D613:AF613" si="456">IF(D$522&gt;D610,D607,D609)</f>
        <v>-3174302577.9724121</v>
      </c>
      <c r="E613" s="28">
        <f t="shared" si="456"/>
        <v>-166884660.7208252</v>
      </c>
      <c r="F613" s="28">
        <f t="shared" si="456"/>
        <v>154114961.62414551</v>
      </c>
      <c r="G613" s="28">
        <f t="shared" si="456"/>
        <v>-1099120378.4942627</v>
      </c>
      <c r="H613" s="28">
        <f t="shared" si="456"/>
        <v>106410980.22460938</v>
      </c>
      <c r="I613" s="28">
        <f t="shared" si="456"/>
        <v>-44804811.477661133</v>
      </c>
      <c r="J613" s="28">
        <f t="shared" si="456"/>
        <v>412683486.93847656</v>
      </c>
      <c r="K613" s="28">
        <f t="shared" si="456"/>
        <v>55853128.433227539</v>
      </c>
      <c r="L613" s="28">
        <f t="shared" si="456"/>
        <v>56260824.203491211</v>
      </c>
      <c r="M613" s="28">
        <f t="shared" si="456"/>
        <v>55330991.744995117</v>
      </c>
      <c r="N613" s="28">
        <f t="shared" si="456"/>
        <v>53485631.942749023</v>
      </c>
      <c r="O613" s="28">
        <f t="shared" si="456"/>
        <v>52144527.435302734</v>
      </c>
      <c r="P613" s="28">
        <f t="shared" si="456"/>
        <v>44455528.259277344</v>
      </c>
      <c r="Q613" s="28">
        <f t="shared" si="456"/>
        <v>18448829.650878906</v>
      </c>
      <c r="R613" s="28">
        <f t="shared" si="456"/>
        <v>-31704902.648925781</v>
      </c>
      <c r="S613" s="28">
        <f t="shared" si="456"/>
        <v>-14016628.265380859</v>
      </c>
      <c r="T613" s="28">
        <f t="shared" si="456"/>
        <v>5549192.4285888672</v>
      </c>
      <c r="U613" s="28">
        <f t="shared" si="456"/>
        <v>21935701.370239258</v>
      </c>
      <c r="V613" s="28">
        <f t="shared" si="456"/>
        <v>-86525678.634643555</v>
      </c>
      <c r="W613" s="28">
        <f t="shared" si="456"/>
        <v>-74831247.329711914</v>
      </c>
      <c r="X613" s="28">
        <f t="shared" si="456"/>
        <v>41873455.047607422</v>
      </c>
      <c r="Y613" s="28">
        <f t="shared" si="456"/>
        <v>44648647.308349609</v>
      </c>
      <c r="Z613" s="28">
        <f t="shared" si="456"/>
        <v>-362396.240234375</v>
      </c>
      <c r="AA613" s="28">
        <f t="shared" si="456"/>
        <v>2581909894.9432373</v>
      </c>
      <c r="AB613" s="28">
        <f t="shared" si="456"/>
        <v>2583400011.0626221</v>
      </c>
      <c r="AC613" s="28">
        <f t="shared" si="456"/>
        <v>2583494186.4013672</v>
      </c>
      <c r="AD613" s="28">
        <f t="shared" si="456"/>
        <v>2583837509.1552734</v>
      </c>
      <c r="AE613" s="28">
        <f t="shared" si="456"/>
        <v>2581759691.2384033</v>
      </c>
      <c r="AF613" s="28">
        <f t="shared" si="456"/>
        <v>2583791017.5323486</v>
      </c>
      <c r="AG613" s="48"/>
    </row>
    <row r="614" spans="1:33" s="47" customFormat="1" x14ac:dyDescent="0.2">
      <c r="A614" s="4" t="s">
        <v>100</v>
      </c>
      <c r="B614" s="236"/>
      <c r="C614" s="79">
        <f t="shared" ref="C614:AF614" si="457">(1/C245)*((EXP(C$241*C611)-1)/(EXP(C$242*C611)-1))</f>
        <v>4.8332554969788825E-2</v>
      </c>
      <c r="D614" s="79">
        <f t="shared" si="457"/>
        <v>1.7833103029306286E-2</v>
      </c>
      <c r="E614" s="79">
        <f t="shared" si="457"/>
        <v>4.3012618858965998E-2</v>
      </c>
      <c r="F614" s="79">
        <f t="shared" si="457"/>
        <v>4.9131619335015225E-2</v>
      </c>
      <c r="G614" s="79">
        <f t="shared" si="457"/>
        <v>3.0593568485105058E-2</v>
      </c>
      <c r="H614" s="79">
        <f t="shared" si="457"/>
        <v>4.8145252856522318E-2</v>
      </c>
      <c r="I614" s="79">
        <f t="shared" si="457"/>
        <v>4.5201110440866152E-2</v>
      </c>
      <c r="J614" s="79">
        <f t="shared" si="457"/>
        <v>5.5011370807773394E-2</v>
      </c>
      <c r="K614" s="79">
        <f t="shared" si="457"/>
        <v>4.7130705017533164E-2</v>
      </c>
      <c r="L614" s="79">
        <f t="shared" si="457"/>
        <v>4.7138762184882277E-2</v>
      </c>
      <c r="M614" s="79">
        <f t="shared" si="457"/>
        <v>4.7120389101888739E-2</v>
      </c>
      <c r="N614" s="79">
        <f t="shared" si="457"/>
        <v>4.7083956306696026E-2</v>
      </c>
      <c r="O614" s="79">
        <f t="shared" si="457"/>
        <v>4.7057504584924532E-2</v>
      </c>
      <c r="P614" s="79">
        <f t="shared" si="457"/>
        <v>4.6906262972817629E-2</v>
      </c>
      <c r="Q614" s="79">
        <f t="shared" si="457"/>
        <v>4.6399910253190187E-2</v>
      </c>
      <c r="R614" s="79">
        <f t="shared" si="457"/>
        <v>4.5445636845810877E-2</v>
      </c>
      <c r="S614" s="79">
        <f t="shared" si="457"/>
        <v>4.5778893690539987E-2</v>
      </c>
      <c r="T614" s="79">
        <f t="shared" si="457"/>
        <v>4.6151697716004907E-2</v>
      </c>
      <c r="U614" s="79">
        <f t="shared" si="457"/>
        <v>4.6467337549945184E-2</v>
      </c>
      <c r="V614" s="79">
        <f t="shared" si="457"/>
        <v>4.4435075651906943E-2</v>
      </c>
      <c r="W614" s="79">
        <f t="shared" si="457"/>
        <v>4.4647859767094344E-2</v>
      </c>
      <c r="X614" s="79">
        <f t="shared" si="457"/>
        <v>4.6855632001033883E-2</v>
      </c>
      <c r="Y614" s="79">
        <f t="shared" si="457"/>
        <v>4.6910052965794459E-2</v>
      </c>
      <c r="Z614" s="79">
        <f t="shared" si="457"/>
        <v>4.6038593850018919E-2</v>
      </c>
      <c r="AA614" s="79">
        <f t="shared" si="457"/>
        <v>0.17248576497692988</v>
      </c>
      <c r="AB614" s="79">
        <f t="shared" si="457"/>
        <v>0.17263977124499189</v>
      </c>
      <c r="AC614" s="79">
        <f t="shared" si="457"/>
        <v>0.17264950980859098</v>
      </c>
      <c r="AD614" s="79">
        <f t="shared" si="457"/>
        <v>0.17268501782624693</v>
      </c>
      <c r="AE614" s="79">
        <f t="shared" si="457"/>
        <v>0.17247025000484487</v>
      </c>
      <c r="AF614" s="79">
        <f t="shared" si="457"/>
        <v>0.17268020895211786</v>
      </c>
      <c r="AG614" s="215"/>
    </row>
    <row r="615" spans="1:33" s="47" customFormat="1" x14ac:dyDescent="0.2">
      <c r="A615" s="4" t="s">
        <v>101</v>
      </c>
      <c r="B615" s="236"/>
      <c r="C615" s="79">
        <f>C611</f>
        <v>115578770.63751221</v>
      </c>
      <c r="D615" s="79">
        <f t="shared" ref="D615:AF615" si="458">D611</f>
        <v>-3174300789.8330688</v>
      </c>
      <c r="E615" s="79">
        <f t="shared" si="458"/>
        <v>-166882872.58148193</v>
      </c>
      <c r="F615" s="79">
        <f t="shared" si="458"/>
        <v>154116749.76348877</v>
      </c>
      <c r="G615" s="79">
        <f t="shared" si="458"/>
        <v>-1099118590.3549194</v>
      </c>
      <c r="H615" s="79">
        <f t="shared" si="458"/>
        <v>106412768.36395264</v>
      </c>
      <c r="I615" s="79">
        <f t="shared" si="458"/>
        <v>-44803023.338317871</v>
      </c>
      <c r="J615" s="79">
        <f t="shared" si="458"/>
        <v>412685275.07781982</v>
      </c>
      <c r="K615" s="79">
        <f t="shared" si="458"/>
        <v>55854916.572570801</v>
      </c>
      <c r="L615" s="79">
        <f t="shared" si="458"/>
        <v>56262612.342834473</v>
      </c>
      <c r="M615" s="79">
        <f t="shared" si="458"/>
        <v>55332779.884338379</v>
      </c>
      <c r="N615" s="79">
        <f t="shared" si="458"/>
        <v>53487420.082092285</v>
      </c>
      <c r="O615" s="79">
        <f t="shared" si="458"/>
        <v>52146315.574645996</v>
      </c>
      <c r="P615" s="79">
        <f t="shared" si="458"/>
        <v>44457316.398620605</v>
      </c>
      <c r="Q615" s="79">
        <f t="shared" si="458"/>
        <v>18450617.790222168</v>
      </c>
      <c r="R615" s="79">
        <f t="shared" si="458"/>
        <v>-31703114.50958252</v>
      </c>
      <c r="S615" s="79">
        <f t="shared" si="458"/>
        <v>-14014840.126037598</v>
      </c>
      <c r="T615" s="79">
        <f t="shared" si="458"/>
        <v>5550980.5679321289</v>
      </c>
      <c r="U615" s="79">
        <f t="shared" si="458"/>
        <v>21937489.50958252</v>
      </c>
      <c r="V615" s="79">
        <f t="shared" si="458"/>
        <v>-86523890.495300293</v>
      </c>
      <c r="W615" s="79">
        <f t="shared" si="458"/>
        <v>-74829459.190368652</v>
      </c>
      <c r="X615" s="79">
        <f t="shared" si="458"/>
        <v>41875243.186950684</v>
      </c>
      <c r="Y615" s="79">
        <f t="shared" si="458"/>
        <v>44650435.447692871</v>
      </c>
      <c r="Z615" s="79">
        <f t="shared" si="458"/>
        <v>-360608.10089111328</v>
      </c>
      <c r="AA615" s="79">
        <f t="shared" si="458"/>
        <v>2581910490.9896851</v>
      </c>
      <c r="AB615" s="79">
        <f t="shared" si="458"/>
        <v>2583400607.1090698</v>
      </c>
      <c r="AC615" s="79">
        <f t="shared" si="458"/>
        <v>2583494782.4478149</v>
      </c>
      <c r="AD615" s="79">
        <f t="shared" si="458"/>
        <v>2583838105.2017212</v>
      </c>
      <c r="AE615" s="79">
        <f t="shared" si="458"/>
        <v>2581760287.2848511</v>
      </c>
      <c r="AF615" s="79">
        <f t="shared" si="458"/>
        <v>2583791613.5787964</v>
      </c>
      <c r="AG615" s="215"/>
    </row>
    <row r="616" spans="1:33" x14ac:dyDescent="0.2">
      <c r="A616" s="46" t="s">
        <v>382</v>
      </c>
      <c r="B616" s="64"/>
      <c r="C616" s="28">
        <f t="shared" ref="C616:AF616" si="459">((1/C245)*C241*EXP(C241*C615))/(EXP(C242*C615)-1)</f>
        <v>4.4243006364167681E-10</v>
      </c>
      <c r="D616" s="28">
        <f t="shared" si="459"/>
        <v>-8.061029667300344E-13</v>
      </c>
      <c r="E616" s="28">
        <f t="shared" si="459"/>
        <v>-2.3714079715307942E-10</v>
      </c>
      <c r="F616" s="28">
        <f t="shared" si="459"/>
        <v>3.436002347101603E-10</v>
      </c>
      <c r="G616" s="28">
        <f t="shared" si="459"/>
        <v>-1.5435862345631399E-11</v>
      </c>
      <c r="H616" s="28">
        <f t="shared" si="459"/>
        <v>4.7656063501349141E-10</v>
      </c>
      <c r="I616" s="28">
        <f t="shared" si="459"/>
        <v>-9.8679079852045834E-10</v>
      </c>
      <c r="J616" s="28">
        <f t="shared" si="459"/>
        <v>1.6221994460725568E-10</v>
      </c>
      <c r="K616" s="28">
        <f t="shared" si="459"/>
        <v>8.6722694744427079E-10</v>
      </c>
      <c r="L616" s="28">
        <f t="shared" si="459"/>
        <v>8.6126124059289372E-10</v>
      </c>
      <c r="M616" s="28">
        <f t="shared" si="459"/>
        <v>8.7499580340223975E-10</v>
      </c>
      <c r="N616" s="28">
        <f t="shared" si="459"/>
        <v>9.036698013255443E-10</v>
      </c>
      <c r="O616" s="28">
        <f t="shared" si="459"/>
        <v>9.2578346065576045E-10</v>
      </c>
      <c r="P616" s="28">
        <f t="shared" si="459"/>
        <v>1.0783517069688925E-9</v>
      </c>
      <c r="Q616" s="28">
        <f t="shared" si="459"/>
        <v>2.5377337495845258E-9</v>
      </c>
      <c r="R616" s="28">
        <f t="shared" si="459"/>
        <v>-1.4112133500377233E-9</v>
      </c>
      <c r="S616" s="28">
        <f t="shared" si="459"/>
        <v>-3.2439676881811992E-9</v>
      </c>
      <c r="T616" s="28">
        <f t="shared" si="459"/>
        <v>8.3368992314532365E-9</v>
      </c>
      <c r="U616" s="28">
        <f t="shared" si="459"/>
        <v>2.1411343176299065E-9</v>
      </c>
      <c r="V616" s="28">
        <f t="shared" si="459"/>
        <v>-4.9198823373842566E-10</v>
      </c>
      <c r="W616" s="28">
        <f t="shared" si="459"/>
        <v>-5.749458278584875E-10</v>
      </c>
      <c r="X616" s="28">
        <f t="shared" si="459"/>
        <v>1.1421654384674878E-9</v>
      </c>
      <c r="Y616" s="28">
        <f t="shared" si="459"/>
        <v>1.0738758165696361E-9</v>
      </c>
      <c r="Z616" s="28">
        <f t="shared" si="459"/>
        <v>-1.2764665861509077E-7</v>
      </c>
      <c r="AA616" s="28">
        <f t="shared" si="459"/>
        <v>1.8437285026895024E-10</v>
      </c>
      <c r="AB616" s="28">
        <f t="shared" si="459"/>
        <v>1.845143731802037E-10</v>
      </c>
      <c r="AC616" s="28">
        <f t="shared" si="459"/>
        <v>1.8452332311296802E-10</v>
      </c>
      <c r="AD616" s="28">
        <f t="shared" si="459"/>
        <v>1.8455595644111926E-10</v>
      </c>
      <c r="AE616" s="28">
        <f t="shared" si="459"/>
        <v>1.8435859414372723E-10</v>
      </c>
      <c r="AF616" s="28">
        <f t="shared" si="459"/>
        <v>1.8455153681854832E-10</v>
      </c>
      <c r="AG616" s="28"/>
    </row>
    <row r="617" spans="1:33" x14ac:dyDescent="0.2">
      <c r="A617" s="46" t="s">
        <v>383</v>
      </c>
      <c r="B617" s="64"/>
      <c r="C617" s="28">
        <f t="shared" ref="C617:AF617" si="460">((1/C245)*(EXP(C241*C615)-1)*C242*EXP(C242*C615))/((EXP(C242*C615)-1)^2)</f>
        <v>4.2193847883259069E-10</v>
      </c>
      <c r="D617" s="28">
        <f t="shared" si="460"/>
        <v>-4.3478424792542561E-12</v>
      </c>
      <c r="E617" s="28">
        <f t="shared" si="460"/>
        <v>-2.5441958978276916E-10</v>
      </c>
      <c r="F617" s="28">
        <f t="shared" si="460"/>
        <v>3.2262076128049947E-10</v>
      </c>
      <c r="G617" s="28">
        <f t="shared" si="460"/>
        <v>-2.5529122664815429E-11</v>
      </c>
      <c r="H617" s="28">
        <f t="shared" si="460"/>
        <v>4.5618322367651378E-10</v>
      </c>
      <c r="I617" s="28">
        <f t="shared" si="460"/>
        <v>-1.0053834231222365E-9</v>
      </c>
      <c r="J617" s="28">
        <f t="shared" si="460"/>
        <v>1.3761336828508527E-10</v>
      </c>
      <c r="K617" s="28">
        <f t="shared" si="460"/>
        <v>8.4746669820762778E-10</v>
      </c>
      <c r="L617" s="28">
        <f t="shared" si="460"/>
        <v>8.414960986799391E-10</v>
      </c>
      <c r="M617" s="28">
        <f t="shared" si="460"/>
        <v>8.552418182524856E-10</v>
      </c>
      <c r="N617" s="28">
        <f t="shared" si="460"/>
        <v>8.8393793726758274E-10</v>
      </c>
      <c r="O617" s="28">
        <f t="shared" si="460"/>
        <v>9.0606765563992E-10</v>
      </c>
      <c r="P617" s="28">
        <f t="shared" si="460"/>
        <v>1.0587276929115353E-9</v>
      </c>
      <c r="Q617" s="28">
        <f t="shared" si="460"/>
        <v>2.5184166870055992E-9</v>
      </c>
      <c r="R617" s="28">
        <f t="shared" si="460"/>
        <v>-1.4299534780002847E-9</v>
      </c>
      <c r="S617" s="28">
        <f t="shared" si="460"/>
        <v>-3.2629090636112813E-9</v>
      </c>
      <c r="T617" s="28">
        <f t="shared" si="460"/>
        <v>8.3177324295470415E-9</v>
      </c>
      <c r="U617" s="28">
        <f t="shared" si="460"/>
        <v>2.1217764129843357E-9</v>
      </c>
      <c r="V617" s="28">
        <f t="shared" si="460"/>
        <v>-5.1011967072852544E-10</v>
      </c>
      <c r="W617" s="28">
        <f t="shared" si="460"/>
        <v>-5.9320523217019096E-10</v>
      </c>
      <c r="X617" s="28">
        <f t="shared" si="460"/>
        <v>1.1225721421061824E-9</v>
      </c>
      <c r="Y617" s="28">
        <f t="shared" si="460"/>
        <v>1.0542495029086607E-9</v>
      </c>
      <c r="Z617" s="28">
        <f t="shared" si="460"/>
        <v>-1.2766575699270111E-7</v>
      </c>
      <c r="AA617" s="28">
        <f t="shared" si="460"/>
        <v>8.1074578833583834E-11</v>
      </c>
      <c r="AB617" s="28">
        <f t="shared" si="460"/>
        <v>8.1108911056417637E-11</v>
      </c>
      <c r="AC617" s="28">
        <f t="shared" si="460"/>
        <v>8.1111082588069241E-11</v>
      </c>
      <c r="AD617" s="28">
        <f t="shared" si="460"/>
        <v>8.1119000804981545E-11</v>
      </c>
      <c r="AE617" s="28">
        <f t="shared" si="460"/>
        <v>8.1071121010474141E-11</v>
      </c>
      <c r="AF617" s="28">
        <f t="shared" si="460"/>
        <v>8.1117928385918962E-11</v>
      </c>
      <c r="AG617" s="28"/>
    </row>
    <row r="618" spans="1:33" x14ac:dyDescent="0.2">
      <c r="A618" s="46" t="s">
        <v>384</v>
      </c>
      <c r="B618" s="64"/>
      <c r="C618" s="28">
        <f t="shared" ref="C618:AF618" si="461">C616-C617</f>
        <v>2.0491584809086122E-11</v>
      </c>
      <c r="D618" s="28">
        <f t="shared" si="461"/>
        <v>3.5417395125242216E-12</v>
      </c>
      <c r="E618" s="28">
        <f t="shared" si="461"/>
        <v>1.7278792629689734E-11</v>
      </c>
      <c r="F618" s="28">
        <f t="shared" si="461"/>
        <v>2.0979473429660837E-11</v>
      </c>
      <c r="G618" s="28">
        <f t="shared" si="461"/>
        <v>1.009326031918403E-11</v>
      </c>
      <c r="H618" s="28">
        <f t="shared" si="461"/>
        <v>2.0377411336977636E-11</v>
      </c>
      <c r="I618" s="28">
        <f t="shared" si="461"/>
        <v>1.8592624601778135E-11</v>
      </c>
      <c r="J618" s="28">
        <f t="shared" si="461"/>
        <v>2.4606576322170402E-11</v>
      </c>
      <c r="K618" s="28">
        <f t="shared" si="461"/>
        <v>1.9760249236643009E-11</v>
      </c>
      <c r="L618" s="28">
        <f t="shared" si="461"/>
        <v>1.9765141912954621E-11</v>
      </c>
      <c r="M618" s="28">
        <f t="shared" si="461"/>
        <v>1.9753985149754151E-11</v>
      </c>
      <c r="N618" s="28">
        <f t="shared" si="461"/>
        <v>1.9731864057961563E-11</v>
      </c>
      <c r="O618" s="28">
        <f t="shared" si="461"/>
        <v>1.9715805015840443E-11</v>
      </c>
      <c r="P618" s="28">
        <f t="shared" si="461"/>
        <v>1.9624014057357152E-11</v>
      </c>
      <c r="Q618" s="28">
        <f t="shared" si="461"/>
        <v>1.9317062578926664E-11</v>
      </c>
      <c r="R618" s="28">
        <f t="shared" si="461"/>
        <v>1.8740127962561341E-11</v>
      </c>
      <c r="S618" s="28">
        <f t="shared" si="461"/>
        <v>1.8941375430082181E-11</v>
      </c>
      <c r="T618" s="28">
        <f t="shared" si="461"/>
        <v>1.9166801906194978E-11</v>
      </c>
      <c r="U618" s="28">
        <f t="shared" si="461"/>
        <v>1.9357904645570786E-11</v>
      </c>
      <c r="V618" s="28">
        <f t="shared" si="461"/>
        <v>1.8131436990099775E-11</v>
      </c>
      <c r="W618" s="28">
        <f t="shared" si="461"/>
        <v>1.8259404311703461E-11</v>
      </c>
      <c r="X618" s="28">
        <f t="shared" si="461"/>
        <v>1.9593296361305431E-11</v>
      </c>
      <c r="Y618" s="28">
        <f t="shared" si="461"/>
        <v>1.9626313660975418E-11</v>
      </c>
      <c r="Z618" s="28">
        <f t="shared" si="461"/>
        <v>1.9098377610338373E-11</v>
      </c>
      <c r="AA618" s="28">
        <f t="shared" si="461"/>
        <v>1.032982714353664E-10</v>
      </c>
      <c r="AB618" s="28">
        <f t="shared" si="461"/>
        <v>1.0340546212378607E-10</v>
      </c>
      <c r="AC618" s="28">
        <f t="shared" si="461"/>
        <v>1.0341224052489878E-10</v>
      </c>
      <c r="AD618" s="28">
        <f t="shared" si="461"/>
        <v>1.0343695563613772E-10</v>
      </c>
      <c r="AE618" s="28">
        <f t="shared" si="461"/>
        <v>1.0328747313325309E-10</v>
      </c>
      <c r="AF618" s="28">
        <f t="shared" si="461"/>
        <v>1.0343360843262935E-10</v>
      </c>
      <c r="AG618" s="28"/>
    </row>
    <row r="619" spans="1:33" x14ac:dyDescent="0.2">
      <c r="A619" s="49" t="s">
        <v>169</v>
      </c>
      <c r="B619" s="212"/>
      <c r="C619" s="79">
        <f t="shared" ref="C619:AF619" si="462">SQRT((C78*C77/200)^2/C618^2)</f>
        <v>32528889.079554357</v>
      </c>
      <c r="D619" s="79">
        <f t="shared" si="462"/>
        <v>12069103499.902735</v>
      </c>
      <c r="E619" s="79">
        <f t="shared" si="462"/>
        <v>549182247.81208169</v>
      </c>
      <c r="F619" s="79">
        <f t="shared" si="462"/>
        <v>610332128.42329454</v>
      </c>
      <c r="G619" s="79">
        <f t="shared" si="462"/>
        <v>871555890.94726992</v>
      </c>
      <c r="H619" s="79">
        <f t="shared" si="462"/>
        <v>606044399.77280354</v>
      </c>
      <c r="I619" s="79">
        <f t="shared" si="462"/>
        <v>329844227.69729668</v>
      </c>
      <c r="J619" s="79">
        <f t="shared" si="462"/>
        <v>244087771.18197078</v>
      </c>
      <c r="K619" s="79">
        <f t="shared" si="462"/>
        <v>1844097.6638574104</v>
      </c>
      <c r="L619" s="79">
        <f t="shared" si="462"/>
        <v>3162365.6513827723</v>
      </c>
      <c r="M619" s="79">
        <f t="shared" si="462"/>
        <v>3170036.4550672104</v>
      </c>
      <c r="N619" s="79">
        <f t="shared" si="462"/>
        <v>2515218.5209184918</v>
      </c>
      <c r="O619" s="79">
        <f t="shared" si="462"/>
        <v>6051604.525544703</v>
      </c>
      <c r="P619" s="79">
        <f t="shared" si="462"/>
        <v>3196225.969953421</v>
      </c>
      <c r="Q619" s="79">
        <f t="shared" si="462"/>
        <v>13913703.821086964</v>
      </c>
      <c r="R619" s="79">
        <f t="shared" si="462"/>
        <v>25193521.75847644</v>
      </c>
      <c r="S619" s="79">
        <f t="shared" si="462"/>
        <v>27317008.408121817</v>
      </c>
      <c r="T619" s="79">
        <f t="shared" si="462"/>
        <v>32589056.992736284</v>
      </c>
      <c r="U619" s="79">
        <f t="shared" si="462"/>
        <v>58455084.104610018</v>
      </c>
      <c r="V619" s="79">
        <f t="shared" si="462"/>
        <v>102397988.50658235</v>
      </c>
      <c r="W619" s="79">
        <f t="shared" si="462"/>
        <v>190013708.97437426</v>
      </c>
      <c r="X619" s="79">
        <f t="shared" si="462"/>
        <v>21304381.427987602</v>
      </c>
      <c r="Y619" s="79">
        <f t="shared" si="462"/>
        <v>39231054.155592784</v>
      </c>
      <c r="Z619" s="79">
        <f t="shared" si="462"/>
        <v>49865493.959122993</v>
      </c>
      <c r="AA619" s="79">
        <f t="shared" si="462"/>
        <v>335696.46968548239</v>
      </c>
      <c r="AB619" s="79">
        <f t="shared" si="462"/>
        <v>336379.05030509376</v>
      </c>
      <c r="AC619" s="79">
        <f t="shared" si="462"/>
        <v>337771.90033170563</v>
      </c>
      <c r="AD619" s="79">
        <f t="shared" si="462"/>
        <v>335811.01145287196</v>
      </c>
      <c r="AE619" s="79">
        <f t="shared" si="462"/>
        <v>332752.19974099164</v>
      </c>
      <c r="AF619" s="79">
        <f t="shared" si="462"/>
        <v>327133.2593124095</v>
      </c>
      <c r="AG619" s="30"/>
    </row>
    <row r="620" spans="1:33" x14ac:dyDescent="0.2">
      <c r="A620" s="49"/>
      <c r="B620" s="212"/>
      <c r="C620" s="79"/>
      <c r="D620" s="79"/>
      <c r="E620" s="79"/>
      <c r="F620" s="79"/>
      <c r="G620" s="79"/>
      <c r="H620" s="79"/>
      <c r="I620" s="79"/>
      <c r="J620" s="79"/>
      <c r="K620" s="79"/>
      <c r="L620" s="79"/>
      <c r="M620" s="79"/>
      <c r="N620" s="79"/>
      <c r="O620" s="79"/>
      <c r="P620" s="79"/>
      <c r="Q620" s="79"/>
      <c r="R620" s="79"/>
      <c r="S620" s="79"/>
      <c r="T620" s="79"/>
      <c r="U620" s="79"/>
      <c r="V620" s="79"/>
      <c r="W620" s="79"/>
      <c r="X620" s="79"/>
      <c r="Y620" s="79"/>
      <c r="Z620" s="79"/>
      <c r="AA620" s="79"/>
      <c r="AB620" s="79"/>
      <c r="AC620" s="79"/>
      <c r="AD620" s="79"/>
      <c r="AE620" s="79"/>
      <c r="AF620" s="79"/>
    </row>
    <row r="621" spans="1:33" ht="18" x14ac:dyDescent="0.2">
      <c r="A621" s="1" t="s">
        <v>131</v>
      </c>
      <c r="B621" s="32"/>
      <c r="C621" s="79"/>
      <c r="D621" s="79"/>
      <c r="E621" s="79"/>
      <c r="F621" s="79"/>
      <c r="G621" s="79"/>
      <c r="H621" s="79"/>
      <c r="I621" s="79"/>
      <c r="J621" s="79"/>
      <c r="K621" s="79"/>
      <c r="L621" s="79"/>
      <c r="M621" s="79"/>
      <c r="N621" s="79"/>
      <c r="O621" s="79"/>
      <c r="P621" s="79"/>
      <c r="Q621" s="79"/>
      <c r="R621" s="79"/>
      <c r="S621" s="79"/>
      <c r="T621" s="79"/>
      <c r="U621" s="79"/>
      <c r="V621" s="79"/>
      <c r="W621" s="79"/>
      <c r="X621" s="79"/>
      <c r="Y621" s="79"/>
      <c r="Z621" s="79"/>
      <c r="AA621" s="79"/>
      <c r="AB621" s="79"/>
      <c r="AC621" s="79"/>
      <c r="AD621" s="79"/>
      <c r="AE621" s="79"/>
      <c r="AF621" s="79"/>
    </row>
    <row r="622" spans="1:33" x14ac:dyDescent="0.2">
      <c r="A622" s="41" t="s">
        <v>333</v>
      </c>
      <c r="B622" s="44"/>
      <c r="C622" s="514"/>
      <c r="D622" s="514"/>
      <c r="E622" s="514"/>
      <c r="F622" s="514"/>
      <c r="G622" s="514"/>
      <c r="H622" s="514"/>
      <c r="I622" s="514"/>
      <c r="J622" s="514"/>
      <c r="K622" s="514"/>
      <c r="L622" s="514"/>
      <c r="M622" s="514"/>
      <c r="N622" s="514"/>
      <c r="O622" s="514"/>
      <c r="P622" s="514"/>
      <c r="Q622" s="514"/>
      <c r="R622" s="514"/>
      <c r="S622" s="514"/>
      <c r="T622" s="514"/>
      <c r="U622" s="514"/>
      <c r="V622" s="514"/>
      <c r="W622" s="514"/>
      <c r="X622" s="514"/>
      <c r="Y622" s="514"/>
      <c r="Z622" s="514"/>
      <c r="AA622" s="514"/>
      <c r="AB622" s="514"/>
      <c r="AC622" s="514"/>
      <c r="AD622" s="514"/>
      <c r="AE622" s="514"/>
      <c r="AF622" s="514"/>
      <c r="AG622" s="40"/>
    </row>
    <row r="623" spans="1:33" x14ac:dyDescent="0.2">
      <c r="A623" s="198" t="s">
        <v>311</v>
      </c>
      <c r="B623" s="212"/>
      <c r="C623" s="79">
        <f>C172*(1+3*C222)</f>
        <v>1.019690387188191E-13</v>
      </c>
      <c r="D623" s="79">
        <f t="shared" ref="D623:AF623" si="463">D172*(1+3*D222)</f>
        <v>8.9099160045570077E-14</v>
      </c>
      <c r="E623" s="79">
        <f t="shared" si="463"/>
        <v>8.3159216042532071E-14</v>
      </c>
      <c r="F623" s="79">
        <f t="shared" si="463"/>
        <v>9.5039104048608071E-14</v>
      </c>
      <c r="G623" s="79">
        <f t="shared" si="463"/>
        <v>1.2671880539814413E-13</v>
      </c>
      <c r="H623" s="79">
        <f t="shared" si="463"/>
        <v>1.0097904805164609E-13</v>
      </c>
      <c r="I623" s="79">
        <f t="shared" si="463"/>
        <v>7.6229281372321071E-14</v>
      </c>
      <c r="J623" s="79">
        <f t="shared" si="463"/>
        <v>8.5139197376878073E-14</v>
      </c>
      <c r="K623" s="79">
        <f t="shared" si="463"/>
        <v>1.323254083227648E-13</v>
      </c>
      <c r="L623" s="79">
        <f t="shared" si="463"/>
        <v>9.6236660598374382E-14</v>
      </c>
      <c r="M623" s="79">
        <f t="shared" si="463"/>
        <v>8.0197217165312004E-14</v>
      </c>
      <c r="N623" s="79">
        <f t="shared" si="463"/>
        <v>1.1728843010426882E-13</v>
      </c>
      <c r="O623" s="79">
        <f t="shared" si="463"/>
        <v>5.3130656372019203E-14</v>
      </c>
      <c r="P623" s="79">
        <f t="shared" si="463"/>
        <v>7.9194751950745599E-14</v>
      </c>
      <c r="Q623" s="79">
        <f t="shared" si="463"/>
        <v>9.5234195383808002E-14</v>
      </c>
      <c r="R623" s="79">
        <f t="shared" si="463"/>
        <v>5.3168866688706908E-14</v>
      </c>
      <c r="S623" s="79">
        <f t="shared" si="463"/>
        <v>5.5189258028530597E-14</v>
      </c>
      <c r="T623" s="79">
        <f t="shared" si="463"/>
        <v>7.9154959613872642E-14</v>
      </c>
      <c r="U623" s="79">
        <f t="shared" si="463"/>
        <v>7.2160979933698341E-14</v>
      </c>
      <c r="V623" s="79">
        <f t="shared" si="463"/>
        <v>7.1170915025904179E-14</v>
      </c>
      <c r="W623" s="79">
        <f t="shared" si="463"/>
        <v>1.0414145003607457E-13</v>
      </c>
      <c r="X623" s="79">
        <f t="shared" si="463"/>
        <v>5.0018664695945768E-14</v>
      </c>
      <c r="Y623" s="79">
        <f t="shared" si="463"/>
        <v>4.108161118339061E-14</v>
      </c>
      <c r="Z623" s="79">
        <f t="shared" si="463"/>
        <v>8.4180388092478915E-14</v>
      </c>
      <c r="AA623" s="79">
        <f t="shared" si="463"/>
        <v>1.2846823556199001E-13</v>
      </c>
      <c r="AB623" s="79">
        <f t="shared" si="463"/>
        <v>1.3538575593840488E-13</v>
      </c>
      <c r="AC623" s="79">
        <f t="shared" si="463"/>
        <v>1.3538575593840488E-13</v>
      </c>
      <c r="AD623" s="79">
        <f t="shared" si="463"/>
        <v>1.3340932154514348E-13</v>
      </c>
      <c r="AE623" s="79">
        <f t="shared" si="463"/>
        <v>8.8939547696762326E-14</v>
      </c>
      <c r="AF623" s="79">
        <f t="shared" si="463"/>
        <v>1.5416188267438802E-13</v>
      </c>
      <c r="AG623" s="79"/>
    </row>
    <row r="624" spans="1:33" x14ac:dyDescent="0.2">
      <c r="A624" s="44" t="s">
        <v>479</v>
      </c>
      <c r="B624" s="64"/>
      <c r="C624" s="28">
        <f t="shared" ref="C624:AF624" si="464">C623*C253</f>
        <v>2.2739833966298575E-18</v>
      </c>
      <c r="D624" s="28">
        <f t="shared" si="464"/>
        <v>3.3249282493951736E-18</v>
      </c>
      <c r="E624" s="28">
        <f t="shared" si="464"/>
        <v>4.4713375397622778E-18</v>
      </c>
      <c r="F624" s="28">
        <f t="shared" si="464"/>
        <v>7.6936151269498193E-18</v>
      </c>
      <c r="G624" s="28">
        <f t="shared" si="464"/>
        <v>8.0554694246282573E-18</v>
      </c>
      <c r="H624" s="28">
        <f t="shared" si="464"/>
        <v>4.9799735529085892E-18</v>
      </c>
      <c r="I624" s="28">
        <f t="shared" si="464"/>
        <v>5.3824732724279943E-18</v>
      </c>
      <c r="J624" s="28">
        <f t="shared" si="464"/>
        <v>2.6198202843969446E-18</v>
      </c>
      <c r="K624" s="28">
        <f t="shared" si="464"/>
        <v>2.144376322355019E-18</v>
      </c>
      <c r="L624" s="28">
        <f t="shared" si="464"/>
        <v>1.9109675924483865E-18</v>
      </c>
      <c r="M624" s="28">
        <f t="shared" si="464"/>
        <v>2.8495971486197303E-18</v>
      </c>
      <c r="N624" s="28">
        <f t="shared" si="464"/>
        <v>2.0220519658578922E-18</v>
      </c>
      <c r="O624" s="28">
        <f t="shared" si="464"/>
        <v>9.0598040626850994E-19</v>
      </c>
      <c r="P624" s="28">
        <f t="shared" si="464"/>
        <v>1.6307498922546739E-18</v>
      </c>
      <c r="Q624" s="28">
        <f t="shared" si="464"/>
        <v>1.0303741495987101E-18</v>
      </c>
      <c r="R624" s="28">
        <f t="shared" si="464"/>
        <v>1.4374924109566109E-18</v>
      </c>
      <c r="S624" s="28">
        <f t="shared" si="464"/>
        <v>1.6782903162669602E-18</v>
      </c>
      <c r="T624" s="28">
        <f t="shared" si="464"/>
        <v>1.620997881342234E-18</v>
      </c>
      <c r="U624" s="28">
        <f t="shared" si="464"/>
        <v>1.3369768129973022E-18</v>
      </c>
      <c r="V624" s="28">
        <f t="shared" si="464"/>
        <v>8.859533323831645E-19</v>
      </c>
      <c r="W624" s="28">
        <f t="shared" si="464"/>
        <v>8.0364174237907782E-19</v>
      </c>
      <c r="X624" s="28">
        <f t="shared" si="464"/>
        <v>1.0716891862615111E-18</v>
      </c>
      <c r="Y624" s="28">
        <f t="shared" si="464"/>
        <v>1.1347248041900417E-18</v>
      </c>
      <c r="Z624" s="28">
        <f t="shared" si="464"/>
        <v>1.7122394281214693E-18</v>
      </c>
      <c r="AA624" s="28">
        <f t="shared" si="464"/>
        <v>7.7378154078363043E-17</v>
      </c>
      <c r="AB624" s="28">
        <f t="shared" si="464"/>
        <v>1.2344662707576831E-16</v>
      </c>
      <c r="AC624" s="28">
        <f t="shared" si="464"/>
        <v>3.2821541772409554E-17</v>
      </c>
      <c r="AD624" s="28">
        <f t="shared" si="464"/>
        <v>1.1149907775946452E-16</v>
      </c>
      <c r="AE624" s="28">
        <f t="shared" si="464"/>
        <v>1.5010431523920866E-16</v>
      </c>
      <c r="AF624" s="28">
        <f t="shared" si="464"/>
        <v>9.421843401124087E-17</v>
      </c>
      <c r="AG624" s="28"/>
    </row>
    <row r="625" spans="1:33" x14ac:dyDescent="0.2">
      <c r="A625" s="198" t="s">
        <v>312</v>
      </c>
      <c r="B625" s="212"/>
      <c r="C625" s="79">
        <f>(3*C22*C172)+(C189*C18*C172)</f>
        <v>6.4638983265305878E-14</v>
      </c>
      <c r="D625" s="79">
        <f t="shared" ref="D625:AF625" si="465">(3*D22*D172)+(D189*D18*D172)</f>
        <v>4.5761657224008032E-14</v>
      </c>
      <c r="E625" s="79">
        <f t="shared" si="465"/>
        <v>6.8878202003016883E-14</v>
      </c>
      <c r="F625" s="79">
        <f t="shared" si="465"/>
        <v>2.0636734885502501E-13</v>
      </c>
      <c r="G625" s="79">
        <f t="shared" si="465"/>
        <v>1.881299019874732E-13</v>
      </c>
      <c r="H625" s="79">
        <f t="shared" si="465"/>
        <v>9.2654294110759944E-14</v>
      </c>
      <c r="I625" s="79">
        <f t="shared" si="465"/>
        <v>7.4817057623534299E-14</v>
      </c>
      <c r="J625" s="79">
        <f t="shared" si="465"/>
        <v>7.4690513188089883E-14</v>
      </c>
      <c r="K625" s="79">
        <f t="shared" si="465"/>
        <v>4.607873119664888E-14</v>
      </c>
      <c r="L625" s="79">
        <f t="shared" si="465"/>
        <v>3.4040219295442758E-14</v>
      </c>
      <c r="M625" s="79">
        <f t="shared" si="465"/>
        <v>3.1502415881590122E-14</v>
      </c>
      <c r="N625" s="79">
        <f t="shared" si="465"/>
        <v>4.9797522091823262E-14</v>
      </c>
      <c r="O625" s="79">
        <f t="shared" si="465"/>
        <v>1.4425067464679339E-14</v>
      </c>
      <c r="P625" s="79">
        <f t="shared" si="465"/>
        <v>2.7020689741024428E-14</v>
      </c>
      <c r="Q625" s="79">
        <f t="shared" si="465"/>
        <v>6.9734262642940003E-15</v>
      </c>
      <c r="R625" s="79">
        <f t="shared" si="465"/>
        <v>1.1032082161123821E-14</v>
      </c>
      <c r="S625" s="79">
        <f t="shared" si="465"/>
        <v>1.1845494718577113E-14</v>
      </c>
      <c r="T625" s="79">
        <f t="shared" si="465"/>
        <v>1.2071397277009337E-14</v>
      </c>
      <c r="U625" s="79">
        <f t="shared" si="465"/>
        <v>1.0931445659170231E-14</v>
      </c>
      <c r="V625" s="79">
        <f t="shared" si="465"/>
        <v>5.4892358667421646E-15</v>
      </c>
      <c r="W625" s="79">
        <f t="shared" si="465"/>
        <v>6.593384808097896E-15</v>
      </c>
      <c r="X625" s="79">
        <f t="shared" si="465"/>
        <v>8.8722559259063628E-15</v>
      </c>
      <c r="Y625" s="79">
        <f t="shared" si="465"/>
        <v>9.0115963193705543E-15</v>
      </c>
      <c r="Z625" s="79">
        <f t="shared" si="465"/>
        <v>7.7469966998639433E-15</v>
      </c>
      <c r="AA625" s="79">
        <f t="shared" si="465"/>
        <v>1.8722912773551813E-12</v>
      </c>
      <c r="AB625" s="79">
        <f t="shared" si="465"/>
        <v>1.8783932389913577E-12</v>
      </c>
      <c r="AC625" s="79">
        <f t="shared" si="465"/>
        <v>1.0157278354705244E-12</v>
      </c>
      <c r="AD625" s="79">
        <f t="shared" si="465"/>
        <v>2.9694622351133758E-12</v>
      </c>
      <c r="AE625" s="79">
        <f t="shared" si="465"/>
        <v>2.7617907396518624E-12</v>
      </c>
      <c r="AF625" s="79">
        <f t="shared" si="465"/>
        <v>2.37782386104221E-12</v>
      </c>
      <c r="AG625" s="79"/>
    </row>
    <row r="626" spans="1:33" x14ac:dyDescent="0.2">
      <c r="A626" s="44" t="s">
        <v>479</v>
      </c>
      <c r="B626" s="64"/>
      <c r="C626" s="28">
        <f t="shared" ref="C626:AF626" si="466">C625*C280</f>
        <v>1.9391694979591761E-17</v>
      </c>
      <c r="D626" s="28">
        <f t="shared" si="466"/>
        <v>1.3728497167202408E-17</v>
      </c>
      <c r="E626" s="28">
        <f t="shared" si="466"/>
        <v>2.0663460600905062E-17</v>
      </c>
      <c r="F626" s="28">
        <f t="shared" si="466"/>
        <v>6.1910204656507496E-17</v>
      </c>
      <c r="G626" s="28">
        <f t="shared" si="466"/>
        <v>5.6438970596241951E-17</v>
      </c>
      <c r="H626" s="28">
        <f t="shared" si="466"/>
        <v>2.7796288233227981E-17</v>
      </c>
      <c r="I626" s="28">
        <f t="shared" si="466"/>
        <v>2.2445117287060287E-17</v>
      </c>
      <c r="J626" s="28">
        <f t="shared" si="466"/>
        <v>2.2407153956426963E-17</v>
      </c>
      <c r="K626" s="28">
        <f t="shared" si="466"/>
        <v>1.3823619358994663E-17</v>
      </c>
      <c r="L626" s="28">
        <f t="shared" si="466"/>
        <v>1.0212065788632826E-17</v>
      </c>
      <c r="M626" s="28">
        <f t="shared" si="466"/>
        <v>9.4507247644770351E-18</v>
      </c>
      <c r="N626" s="28">
        <f t="shared" si="466"/>
        <v>1.4939256627546978E-17</v>
      </c>
      <c r="O626" s="28">
        <f t="shared" si="466"/>
        <v>4.3275202394038016E-18</v>
      </c>
      <c r="P626" s="28">
        <f t="shared" si="466"/>
        <v>8.1062069223073271E-18</v>
      </c>
      <c r="Q626" s="28">
        <f t="shared" si="466"/>
        <v>2.0920278792881999E-18</v>
      </c>
      <c r="R626" s="28">
        <f t="shared" si="466"/>
        <v>1.1372404197512113E-18</v>
      </c>
      <c r="S626" s="28">
        <f t="shared" si="466"/>
        <v>1.1714137155683866E-18</v>
      </c>
      <c r="T626" s="28">
        <f t="shared" si="466"/>
        <v>1.1539203878731037E-18</v>
      </c>
      <c r="U626" s="28">
        <f t="shared" si="466"/>
        <v>1.1412286807293895E-18</v>
      </c>
      <c r="V626" s="28">
        <f t="shared" si="466"/>
        <v>6.0561556510363964E-19</v>
      </c>
      <c r="W626" s="28">
        <f t="shared" si="466"/>
        <v>6.1519757890615137E-19</v>
      </c>
      <c r="X626" s="28">
        <f t="shared" si="466"/>
        <v>8.6701876555515673E-19</v>
      </c>
      <c r="Y626" s="28">
        <f t="shared" si="466"/>
        <v>9.8633512633220743E-19</v>
      </c>
      <c r="Z626" s="28">
        <f t="shared" si="466"/>
        <v>7.7925239829049664E-19</v>
      </c>
      <c r="AA626" s="28">
        <f t="shared" si="466"/>
        <v>3.7445825547103628E-16</v>
      </c>
      <c r="AB626" s="28">
        <f t="shared" si="466"/>
        <v>3.7567864779827153E-16</v>
      </c>
      <c r="AC626" s="28">
        <f t="shared" si="466"/>
        <v>2.031455670941049E-16</v>
      </c>
      <c r="AD626" s="28">
        <f t="shared" si="466"/>
        <v>5.9389244702267518E-16</v>
      </c>
      <c r="AE626" s="28">
        <f t="shared" si="466"/>
        <v>5.5235814793037254E-16</v>
      </c>
      <c r="AF626" s="28">
        <f t="shared" si="466"/>
        <v>4.7556477220844205E-16</v>
      </c>
      <c r="AG626" s="28"/>
    </row>
    <row r="627" spans="1:33" x14ac:dyDescent="0.2">
      <c r="A627" s="198" t="s">
        <v>313</v>
      </c>
      <c r="B627" s="212"/>
      <c r="C627" s="79">
        <f>-C172</f>
        <v>-1.0148192547653175E-13</v>
      </c>
      <c r="D627" s="79">
        <f t="shared" ref="D627:AF627" si="467">-D172</f>
        <v>-8.8673527115416085E-14</v>
      </c>
      <c r="E627" s="79">
        <f t="shared" si="467"/>
        <v>-8.276195864105501E-14</v>
      </c>
      <c r="F627" s="79">
        <f t="shared" si="467"/>
        <v>-9.4585095589777149E-14</v>
      </c>
      <c r="G627" s="79">
        <f t="shared" si="467"/>
        <v>-1.2611346078636956E-13</v>
      </c>
      <c r="H627" s="79">
        <f t="shared" si="467"/>
        <v>-1.0049666406413824E-13</v>
      </c>
      <c r="I627" s="79">
        <f t="shared" si="467"/>
        <v>-7.5865128754300432E-14</v>
      </c>
      <c r="J627" s="79">
        <f t="shared" si="467"/>
        <v>-8.4732481465842039E-14</v>
      </c>
      <c r="K627" s="79">
        <f t="shared" si="467"/>
        <v>-1.3169328057600001E-13</v>
      </c>
      <c r="L627" s="79">
        <f t="shared" si="467"/>
        <v>-9.5776931327999996E-14</v>
      </c>
      <c r="M627" s="79">
        <f t="shared" si="467"/>
        <v>-7.9814109440000008E-14</v>
      </c>
      <c r="N627" s="79">
        <f t="shared" si="467"/>
        <v>-1.1672813505600002E-13</v>
      </c>
      <c r="O627" s="79">
        <f t="shared" si="467"/>
        <v>-5.2876847504000005E-14</v>
      </c>
      <c r="P627" s="79">
        <f t="shared" si="467"/>
        <v>-7.8816433072000007E-14</v>
      </c>
      <c r="Q627" s="79">
        <f t="shared" si="467"/>
        <v>-9.4779254960000009E-14</v>
      </c>
      <c r="R627" s="79">
        <f t="shared" si="467"/>
        <v>-5.2876847504000005E-14</v>
      </c>
      <c r="S627" s="79">
        <f t="shared" si="467"/>
        <v>-5.4872200239999999E-14</v>
      </c>
      <c r="T627" s="79">
        <f t="shared" si="467"/>
        <v>-7.8816433072000007E-14</v>
      </c>
      <c r="U627" s="79">
        <f t="shared" si="467"/>
        <v>-7.1832698496000007E-14</v>
      </c>
      <c r="V627" s="79">
        <f t="shared" si="467"/>
        <v>-7.0835022128000007E-14</v>
      </c>
      <c r="W627" s="79">
        <f t="shared" si="467"/>
        <v>-1.03758342272E-13</v>
      </c>
      <c r="X627" s="79">
        <f t="shared" si="467"/>
        <v>-4.9883818400000005E-14</v>
      </c>
      <c r="Y627" s="79">
        <f t="shared" si="467"/>
        <v>-4.0904731088000004E-14</v>
      </c>
      <c r="Z627" s="79">
        <f t="shared" si="467"/>
        <v>-8.3804814911999995E-14</v>
      </c>
      <c r="AA627" s="79">
        <f t="shared" si="467"/>
        <v>-1.2808398361115656E-13</v>
      </c>
      <c r="AB627" s="79">
        <f t="shared" si="467"/>
        <v>-1.3498081349791115E-13</v>
      </c>
      <c r="AC627" s="79">
        <f t="shared" si="467"/>
        <v>-1.3498081349791115E-13</v>
      </c>
      <c r="AD627" s="79">
        <f t="shared" si="467"/>
        <v>-1.3301029067312412E-13</v>
      </c>
      <c r="AE627" s="79">
        <f t="shared" si="467"/>
        <v>-8.8673527115416085E-14</v>
      </c>
      <c r="AF627" s="79">
        <f t="shared" si="467"/>
        <v>-1.5370078033338787E-13</v>
      </c>
      <c r="AG627" s="79"/>
    </row>
    <row r="628" spans="1:33" x14ac:dyDescent="0.2">
      <c r="A628" s="44" t="s">
        <v>479</v>
      </c>
      <c r="B628" s="64"/>
      <c r="C628" s="28">
        <f t="shared" ref="C628:AF628" si="468">C627*C263</f>
        <v>-2.2568924652742084E-19</v>
      </c>
      <c r="D628" s="28">
        <f t="shared" si="468"/>
        <v>-1.9720419599483373E-19</v>
      </c>
      <c r="E628" s="28">
        <f t="shared" si="468"/>
        <v>-1.8405724959517814E-19</v>
      </c>
      <c r="F628" s="28">
        <f t="shared" si="468"/>
        <v>-2.1035114239448928E-19</v>
      </c>
      <c r="G628" s="28">
        <f t="shared" si="468"/>
        <v>-2.8046818985931912E-19</v>
      </c>
      <c r="H628" s="28">
        <f t="shared" si="468"/>
        <v>-2.234980887941449E-19</v>
      </c>
      <c r="I628" s="28">
        <f t="shared" si="468"/>
        <v>-1.6871914546224665E-19</v>
      </c>
      <c r="J628" s="28">
        <f t="shared" si="468"/>
        <v>-1.8843956506173001E-19</v>
      </c>
      <c r="K628" s="28">
        <f t="shared" si="468"/>
        <v>-1.8671452314015224E-19</v>
      </c>
      <c r="L628" s="28">
        <f t="shared" si="468"/>
        <v>-1.3579238046556527E-19</v>
      </c>
      <c r="M628" s="28">
        <f t="shared" si="468"/>
        <v>-1.1316031705463772E-19</v>
      </c>
      <c r="N628" s="28">
        <f t="shared" si="468"/>
        <v>-1.6549696369240769E-19</v>
      </c>
      <c r="O628" s="28">
        <f t="shared" si="468"/>
        <v>-7.4968710048697496E-20</v>
      </c>
      <c r="P628" s="28">
        <f t="shared" si="468"/>
        <v>-1.1174581309145475E-19</v>
      </c>
      <c r="Q628" s="28">
        <f t="shared" si="468"/>
        <v>-1.343778765023823E-19</v>
      </c>
      <c r="R628" s="28">
        <f t="shared" si="468"/>
        <v>-1.3362903734154112E-19</v>
      </c>
      <c r="S628" s="28">
        <f t="shared" si="468"/>
        <v>-1.3867164252424078E-19</v>
      </c>
      <c r="T628" s="28">
        <f t="shared" si="468"/>
        <v>-1.9918290471663677E-19</v>
      </c>
      <c r="U628" s="28">
        <f t="shared" si="468"/>
        <v>-1.8153378657718795E-19</v>
      </c>
      <c r="V628" s="28">
        <f t="shared" si="468"/>
        <v>-1.7901248398583811E-19</v>
      </c>
      <c r="W628" s="28">
        <f t="shared" si="468"/>
        <v>-2.6221546950038256E-19</v>
      </c>
      <c r="X628" s="28">
        <f t="shared" si="468"/>
        <v>-1.2606512956749162E-19</v>
      </c>
      <c r="Y628" s="28">
        <f t="shared" si="468"/>
        <v>-1.0337340624534313E-19</v>
      </c>
      <c r="Z628" s="28">
        <f t="shared" si="468"/>
        <v>-2.117894176733859E-19</v>
      </c>
      <c r="AA628" s="28">
        <f t="shared" si="468"/>
        <v>-2.8485050532587092E-19</v>
      </c>
      <c r="AB628" s="28">
        <f t="shared" si="468"/>
        <v>-3.0018860945880246E-19</v>
      </c>
      <c r="AC628" s="28">
        <f t="shared" si="468"/>
        <v>-3.0018860945880246E-19</v>
      </c>
      <c r="AD628" s="28">
        <f t="shared" si="468"/>
        <v>-2.9580629399225056E-19</v>
      </c>
      <c r="AE628" s="28">
        <f t="shared" si="468"/>
        <v>-1.9720419599483373E-19</v>
      </c>
      <c r="AF628" s="28">
        <f t="shared" si="468"/>
        <v>-3.4182060639104509E-19</v>
      </c>
      <c r="AG628" s="28"/>
    </row>
    <row r="629" spans="1:33" x14ac:dyDescent="0.2">
      <c r="A629" s="198" t="s">
        <v>365</v>
      </c>
      <c r="B629" s="212"/>
      <c r="C629" s="79">
        <f>-C230</f>
        <v>-6.0245551505100691E-16</v>
      </c>
      <c r="D629" s="79">
        <f t="shared" ref="D629:AF629" si="469">-D230</f>
        <v>-6.0245551505100691E-16</v>
      </c>
      <c r="E629" s="79">
        <f t="shared" si="469"/>
        <v>-6.0245551505100691E-16</v>
      </c>
      <c r="F629" s="79">
        <f t="shared" si="469"/>
        <v>-6.0245551505100691E-16</v>
      </c>
      <c r="G629" s="79">
        <f t="shared" si="469"/>
        <v>-6.0245551505100691E-16</v>
      </c>
      <c r="H629" s="79">
        <f t="shared" si="469"/>
        <v>-6.0245551505100691E-16</v>
      </c>
      <c r="I629" s="79">
        <f t="shared" si="469"/>
        <v>-6.0245551505100691E-16</v>
      </c>
      <c r="J629" s="79">
        <f t="shared" si="469"/>
        <v>-6.0245551505100691E-16</v>
      </c>
      <c r="K629" s="79">
        <f t="shared" si="469"/>
        <v>-4.038855607384064E-16</v>
      </c>
      <c r="L629" s="79">
        <f t="shared" si="469"/>
        <v>-4.9032311000876925E-16</v>
      </c>
      <c r="M629" s="79">
        <f t="shared" si="469"/>
        <v>-4.8074908245451077E-16</v>
      </c>
      <c r="N629" s="79">
        <f t="shared" si="469"/>
        <v>-5.6471560520940375E-16</v>
      </c>
      <c r="O629" s="79">
        <f t="shared" si="469"/>
        <v>-4.1261713648713875E-16</v>
      </c>
      <c r="P629" s="79">
        <f t="shared" si="469"/>
        <v>-3.8841458680603334E-16</v>
      </c>
      <c r="Q629" s="79">
        <f t="shared" si="469"/>
        <v>-3.0122288276122504E-16</v>
      </c>
      <c r="R629" s="79">
        <f t="shared" si="469"/>
        <v>-5.8131883067673228E-16</v>
      </c>
      <c r="S629" s="79">
        <f t="shared" si="469"/>
        <v>-6.0245551505100691E-16</v>
      </c>
      <c r="T629" s="79">
        <f t="shared" si="469"/>
        <v>-6.0245551505100691E-16</v>
      </c>
      <c r="U629" s="79">
        <f t="shared" si="469"/>
        <v>-6.0245551505100691E-16</v>
      </c>
      <c r="V629" s="79">
        <f t="shared" si="469"/>
        <v>-4.0755072118599272E-16</v>
      </c>
      <c r="W629" s="79">
        <f t="shared" si="469"/>
        <v>-5.4330329082517629E-16</v>
      </c>
      <c r="X629" s="79">
        <f t="shared" si="469"/>
        <v>-5.197647950164948E-16</v>
      </c>
      <c r="Y629" s="79">
        <f t="shared" si="469"/>
        <v>-6.0245551505100691E-16</v>
      </c>
      <c r="Z629" s="79">
        <f t="shared" si="469"/>
        <v>-6.0245551505100691E-16</v>
      </c>
      <c r="AA629" s="79">
        <f t="shared" si="469"/>
        <v>-6.0245551505100691E-16</v>
      </c>
      <c r="AB629" s="79">
        <f t="shared" si="469"/>
        <v>-6.0245551505100691E-16</v>
      </c>
      <c r="AC629" s="79">
        <f t="shared" si="469"/>
        <v>-6.0245551505100691E-16</v>
      </c>
      <c r="AD629" s="79">
        <f t="shared" si="469"/>
        <v>-6.0245551505100691E-16</v>
      </c>
      <c r="AE629" s="79">
        <f t="shared" si="469"/>
        <v>-6.0245551505100691E-16</v>
      </c>
      <c r="AF629" s="79">
        <f t="shared" si="469"/>
        <v>-6.0245551505100691E-16</v>
      </c>
      <c r="AG629" s="79"/>
    </row>
    <row r="630" spans="1:33" x14ac:dyDescent="0.2">
      <c r="A630" s="44" t="s">
        <v>479</v>
      </c>
      <c r="B630" s="64"/>
      <c r="C630" s="28">
        <f t="shared" ref="C630:AF630" si="470">C629*C276</f>
        <v>-4.3127010893760937E-18</v>
      </c>
      <c r="D630" s="28">
        <f t="shared" si="470"/>
        <v>-4.3127010893760937E-18</v>
      </c>
      <c r="E630" s="28">
        <f t="shared" si="470"/>
        <v>-4.3127010893760937E-18</v>
      </c>
      <c r="F630" s="28">
        <f t="shared" si="470"/>
        <v>-4.3127010893760937E-18</v>
      </c>
      <c r="G630" s="28">
        <f t="shared" si="470"/>
        <v>-4.3127010893760937E-18</v>
      </c>
      <c r="H630" s="28">
        <f t="shared" si="470"/>
        <v>-4.3127010893760937E-18</v>
      </c>
      <c r="I630" s="28">
        <f t="shared" si="470"/>
        <v>-4.3127010893760937E-18</v>
      </c>
      <c r="J630" s="28">
        <f t="shared" si="470"/>
        <v>-4.3127010893760937E-18</v>
      </c>
      <c r="K630" s="28">
        <f t="shared" si="470"/>
        <v>-2.8912303967079249E-18</v>
      </c>
      <c r="L630" s="28">
        <f t="shared" si="470"/>
        <v>-3.5099969339679123E-18</v>
      </c>
      <c r="M630" s="28">
        <f t="shared" si="470"/>
        <v>-3.4414608876849405E-18</v>
      </c>
      <c r="N630" s="28">
        <f t="shared" si="470"/>
        <v>-4.0425384861288528E-18</v>
      </c>
      <c r="O630" s="28">
        <f t="shared" si="470"/>
        <v>-2.9537357191803063E-18</v>
      </c>
      <c r="P630" s="28">
        <f t="shared" si="470"/>
        <v>-2.7804808318604599E-18</v>
      </c>
      <c r="Q630" s="28">
        <f t="shared" si="470"/>
        <v>-2.1563156484995506E-18</v>
      </c>
      <c r="R630" s="28">
        <f t="shared" si="470"/>
        <v>-4.1613933173507769E-18</v>
      </c>
      <c r="S630" s="28">
        <f t="shared" si="470"/>
        <v>-4.3127010893760937E-18</v>
      </c>
      <c r="T630" s="28">
        <f t="shared" si="470"/>
        <v>-4.3127010893760937E-18</v>
      </c>
      <c r="U630" s="28">
        <f t="shared" si="470"/>
        <v>-4.3127010893760937E-18</v>
      </c>
      <c r="V630" s="28">
        <f t="shared" si="470"/>
        <v>-2.9174675894302875E-18</v>
      </c>
      <c r="W630" s="28">
        <f t="shared" si="470"/>
        <v>-3.8892576060241981E-18</v>
      </c>
      <c r="X630" s="28">
        <f t="shared" si="470"/>
        <v>-3.7207563740157564E-18</v>
      </c>
      <c r="Y630" s="28">
        <f t="shared" si="470"/>
        <v>-4.3127010893760937E-18</v>
      </c>
      <c r="Z630" s="28">
        <f t="shared" si="470"/>
        <v>-4.3127010893760937E-18</v>
      </c>
      <c r="AA630" s="28">
        <f t="shared" si="470"/>
        <v>-4.3127010893760937E-18</v>
      </c>
      <c r="AB630" s="28">
        <f t="shared" si="470"/>
        <v>-4.3127010893760937E-18</v>
      </c>
      <c r="AC630" s="28">
        <f t="shared" si="470"/>
        <v>-4.3127010893760937E-18</v>
      </c>
      <c r="AD630" s="28">
        <f t="shared" si="470"/>
        <v>-4.3127010893760937E-18</v>
      </c>
      <c r="AE630" s="28">
        <f t="shared" si="470"/>
        <v>-4.3127010893760937E-18</v>
      </c>
      <c r="AF630" s="28">
        <f t="shared" si="470"/>
        <v>-4.3127010893760937E-18</v>
      </c>
      <c r="AG630" s="216"/>
    </row>
    <row r="631" spans="1:33" x14ac:dyDescent="0.2">
      <c r="A631" s="198" t="s">
        <v>439</v>
      </c>
      <c r="B631" s="212"/>
      <c r="C631" s="79">
        <f>-C206+C189*(1/C198)</f>
        <v>4.3699211644824487E-2</v>
      </c>
      <c r="D631" s="79">
        <f t="shared" ref="D631:AF631" si="471">-D206+D189*(1/D198)</f>
        <v>4.3699211644824487E-2</v>
      </c>
      <c r="E631" s="79">
        <f t="shared" si="471"/>
        <v>4.3699211644824487E-2</v>
      </c>
      <c r="F631" s="79">
        <f t="shared" si="471"/>
        <v>4.3699211644824487E-2</v>
      </c>
      <c r="G631" s="79">
        <f t="shared" si="471"/>
        <v>4.3699211644824487E-2</v>
      </c>
      <c r="H631" s="79">
        <f t="shared" si="471"/>
        <v>4.3699211644824487E-2</v>
      </c>
      <c r="I631" s="79">
        <f t="shared" si="471"/>
        <v>4.3699211644824487E-2</v>
      </c>
      <c r="J631" s="79">
        <f t="shared" si="471"/>
        <v>4.3699211644824487E-2</v>
      </c>
      <c r="K631" s="79">
        <f t="shared" si="471"/>
        <v>4.3699211644824487E-2</v>
      </c>
      <c r="L631" s="79">
        <f t="shared" si="471"/>
        <v>4.3699211644824487E-2</v>
      </c>
      <c r="M631" s="79">
        <f t="shared" si="471"/>
        <v>4.3699211644824487E-2</v>
      </c>
      <c r="N631" s="79">
        <f t="shared" si="471"/>
        <v>4.3699211644824487E-2</v>
      </c>
      <c r="O631" s="79">
        <f t="shared" si="471"/>
        <v>4.3699211644824487E-2</v>
      </c>
      <c r="P631" s="79">
        <f t="shared" si="471"/>
        <v>4.3699211644824487E-2</v>
      </c>
      <c r="Q631" s="79">
        <f t="shared" si="471"/>
        <v>4.3699211644824487E-2</v>
      </c>
      <c r="R631" s="79">
        <f t="shared" si="471"/>
        <v>4.3699211644824487E-2</v>
      </c>
      <c r="S631" s="79">
        <f t="shared" si="471"/>
        <v>4.3699211644824487E-2</v>
      </c>
      <c r="T631" s="79">
        <f t="shared" si="471"/>
        <v>4.3699211644824487E-2</v>
      </c>
      <c r="U631" s="79">
        <f t="shared" si="471"/>
        <v>4.3699211644824487E-2</v>
      </c>
      <c r="V631" s="79">
        <f t="shared" si="471"/>
        <v>4.3699211644824487E-2</v>
      </c>
      <c r="W631" s="79">
        <f t="shared" si="471"/>
        <v>4.3699211644824487E-2</v>
      </c>
      <c r="X631" s="79">
        <f t="shared" si="471"/>
        <v>4.3699211644824487E-2</v>
      </c>
      <c r="Y631" s="79">
        <f t="shared" si="471"/>
        <v>4.3699211644824487E-2</v>
      </c>
      <c r="Z631" s="79">
        <f t="shared" si="471"/>
        <v>4.3699211644824487E-2</v>
      </c>
      <c r="AA631" s="79">
        <f t="shared" si="471"/>
        <v>4.3699211644824487E-2</v>
      </c>
      <c r="AB631" s="79">
        <f t="shared" si="471"/>
        <v>4.3699211644824487E-2</v>
      </c>
      <c r="AC631" s="79">
        <f t="shared" si="471"/>
        <v>4.3699211644824487E-2</v>
      </c>
      <c r="AD631" s="79">
        <f t="shared" si="471"/>
        <v>4.3699211644824487E-2</v>
      </c>
      <c r="AE631" s="79">
        <f t="shared" si="471"/>
        <v>4.3699211644824487E-2</v>
      </c>
      <c r="AF631" s="79">
        <f t="shared" si="471"/>
        <v>4.3699211644824487E-2</v>
      </c>
      <c r="AG631" s="79"/>
    </row>
    <row r="632" spans="1:33" x14ac:dyDescent="0.2">
      <c r="A632" s="44" t="s">
        <v>479</v>
      </c>
      <c r="B632" s="64"/>
      <c r="C632" s="28">
        <f t="shared" ref="C632:AF632" si="472">C631*C278</f>
        <v>6.5817077647014236E-18</v>
      </c>
      <c r="D632" s="28">
        <f t="shared" si="472"/>
        <v>6.5817077647014236E-18</v>
      </c>
      <c r="E632" s="28">
        <f t="shared" si="472"/>
        <v>6.5817077647014236E-18</v>
      </c>
      <c r="F632" s="28">
        <f t="shared" si="472"/>
        <v>6.5817077647014236E-18</v>
      </c>
      <c r="G632" s="28">
        <f t="shared" si="472"/>
        <v>6.5817077647014236E-18</v>
      </c>
      <c r="H632" s="28">
        <f t="shared" si="472"/>
        <v>6.5817077647014236E-18</v>
      </c>
      <c r="I632" s="28">
        <f t="shared" si="472"/>
        <v>6.5817077647014236E-18</v>
      </c>
      <c r="J632" s="28">
        <f t="shared" si="472"/>
        <v>6.5817077647014236E-18</v>
      </c>
      <c r="K632" s="28">
        <f t="shared" si="472"/>
        <v>4.4123701497490586E-18</v>
      </c>
      <c r="L632" s="28">
        <f t="shared" si="472"/>
        <v>5.3566833396554419E-18</v>
      </c>
      <c r="M632" s="28">
        <f t="shared" si="472"/>
        <v>5.252088975558711E-18</v>
      </c>
      <c r="N632" s="28">
        <f t="shared" si="472"/>
        <v>6.1694066877952214E-18</v>
      </c>
      <c r="O632" s="28">
        <f t="shared" si="472"/>
        <v>4.5077608939082275E-18</v>
      </c>
      <c r="P632" s="28">
        <f t="shared" si="472"/>
        <v>4.2433528086934751E-18</v>
      </c>
      <c r="Q632" s="28">
        <f t="shared" si="472"/>
        <v>3.2908006265117315E-18</v>
      </c>
      <c r="R632" s="28">
        <f t="shared" si="472"/>
        <v>6.3507936537161035E-18</v>
      </c>
      <c r="S632" s="28">
        <f t="shared" si="472"/>
        <v>6.5817077647014236E-18</v>
      </c>
      <c r="T632" s="28">
        <f t="shared" si="472"/>
        <v>6.5817077647014236E-18</v>
      </c>
      <c r="U632" s="28">
        <f t="shared" si="472"/>
        <v>6.5817077647014236E-18</v>
      </c>
      <c r="V632" s="28">
        <f t="shared" si="472"/>
        <v>4.4524113052768878E-18</v>
      </c>
      <c r="W632" s="28">
        <f t="shared" si="472"/>
        <v>5.9354813732747521E-18</v>
      </c>
      <c r="X632" s="28">
        <f t="shared" si="472"/>
        <v>5.6783279457386559E-18</v>
      </c>
      <c r="Y632" s="28">
        <f t="shared" si="472"/>
        <v>6.5817077647014236E-18</v>
      </c>
      <c r="Z632" s="28">
        <f t="shared" si="472"/>
        <v>6.5817077647014236E-18</v>
      </c>
      <c r="AA632" s="28">
        <f t="shared" si="472"/>
        <v>6.5817077647014236E-18</v>
      </c>
      <c r="AB632" s="28">
        <f t="shared" si="472"/>
        <v>6.5817077647014236E-18</v>
      </c>
      <c r="AC632" s="28">
        <f t="shared" si="472"/>
        <v>6.5817077647014236E-18</v>
      </c>
      <c r="AD632" s="28">
        <f t="shared" si="472"/>
        <v>6.5817077647014236E-18</v>
      </c>
      <c r="AE632" s="28">
        <f t="shared" si="472"/>
        <v>6.5817077647014236E-18</v>
      </c>
      <c r="AF632" s="28">
        <f t="shared" si="472"/>
        <v>6.5817077647014236E-18</v>
      </c>
      <c r="AG632" s="216"/>
    </row>
    <row r="633" spans="1:33" x14ac:dyDescent="0.2">
      <c r="A633" s="198" t="s">
        <v>440</v>
      </c>
      <c r="B633" s="212"/>
      <c r="C633" s="79">
        <f>-(C229+C233-C229)</f>
        <v>-3.5654520875281029E-16</v>
      </c>
      <c r="D633" s="79">
        <f t="shared" ref="D633:AF633" si="473">-(D229+D233-D229)</f>
        <v>-2.4214799400725579E-16</v>
      </c>
      <c r="E633" s="79">
        <f t="shared" si="473"/>
        <v>-3.9251096702671079E-16</v>
      </c>
      <c r="F633" s="79">
        <f t="shared" si="473"/>
        <v>-1.2909194172424748E-15</v>
      </c>
      <c r="G633" s="79">
        <f t="shared" si="473"/>
        <v>-1.1552842488500433E-15</v>
      </c>
      <c r="H633" s="79">
        <f t="shared" si="473"/>
        <v>-5.4102433393503558E-16</v>
      </c>
      <c r="I633" s="79">
        <f t="shared" si="473"/>
        <v>-4.3180613264680166E-16</v>
      </c>
      <c r="J633" s="79">
        <f t="shared" si="473"/>
        <v>-4.2628562357066344E-16</v>
      </c>
      <c r="K633" s="79">
        <f t="shared" si="473"/>
        <v>0</v>
      </c>
      <c r="L633" s="79">
        <f t="shared" si="473"/>
        <v>0</v>
      </c>
      <c r="M633" s="79">
        <f t="shared" si="473"/>
        <v>0</v>
      </c>
      <c r="N633" s="79">
        <f t="shared" si="473"/>
        <v>0</v>
      </c>
      <c r="O633" s="79">
        <f t="shared" si="473"/>
        <v>0</v>
      </c>
      <c r="P633" s="79">
        <f t="shared" si="473"/>
        <v>0</v>
      </c>
      <c r="Q633" s="79">
        <f t="shared" si="473"/>
        <v>0</v>
      </c>
      <c r="R633" s="79">
        <f t="shared" si="473"/>
        <v>0</v>
      </c>
      <c r="S633" s="79">
        <f t="shared" si="473"/>
        <v>-6.8294435519941192E-19</v>
      </c>
      <c r="T633" s="79">
        <f t="shared" si="473"/>
        <v>-6.6687980792378213E-18</v>
      </c>
      <c r="U633" s="79">
        <f t="shared" si="473"/>
        <v>-9.0374125805767599E-18</v>
      </c>
      <c r="V633" s="79">
        <f t="shared" si="473"/>
        <v>0</v>
      </c>
      <c r="W633" s="79">
        <f t="shared" si="473"/>
        <v>0</v>
      </c>
      <c r="X633" s="79">
        <f t="shared" si="473"/>
        <v>0</v>
      </c>
      <c r="Y633" s="79">
        <f t="shared" si="473"/>
        <v>-4.1486903909429097E-18</v>
      </c>
      <c r="Z633" s="79">
        <f t="shared" si="473"/>
        <v>-7.3335416703500467E-19</v>
      </c>
      <c r="AA633" s="79">
        <f t="shared" si="473"/>
        <v>-5.9910245599941638E-17</v>
      </c>
      <c r="AB633" s="79">
        <f t="shared" si="473"/>
        <v>-4.9283751770945998E-17</v>
      </c>
      <c r="AC633" s="79">
        <f t="shared" si="473"/>
        <v>-1.42701380077241E-17</v>
      </c>
      <c r="AD633" s="79">
        <f t="shared" si="473"/>
        <v>-1.7957157742726134E-16</v>
      </c>
      <c r="AE633" s="79">
        <f t="shared" si="473"/>
        <v>-1.6029046047368423E-16</v>
      </c>
      <c r="AF633" s="79">
        <f t="shared" si="473"/>
        <v>-2.7226992162296185E-16</v>
      </c>
      <c r="AG633" s="79"/>
    </row>
    <row r="634" spans="1:33" x14ac:dyDescent="0.2">
      <c r="A634" s="44" t="s">
        <v>479</v>
      </c>
      <c r="B634" s="64"/>
      <c r="C634" s="28">
        <f t="shared" ref="C634:AF634" si="474">C633*C272</f>
        <v>-8.6376820321940746E-17</v>
      </c>
      <c r="D634" s="28">
        <f t="shared" si="474"/>
        <v>-5.8662893950663014E-17</v>
      </c>
      <c r="E634" s="28">
        <f t="shared" si="474"/>
        <v>-9.5089902881748306E-17</v>
      </c>
      <c r="F634" s="28">
        <f t="shared" si="474"/>
        <v>-3.1273878267303689E-16</v>
      </c>
      <c r="G634" s="28">
        <f t="shared" si="474"/>
        <v>-2.7987973904558024E-16</v>
      </c>
      <c r="H634" s="28">
        <f t="shared" si="474"/>
        <v>-1.3106882531270559E-16</v>
      </c>
      <c r="I634" s="28">
        <f t="shared" si="474"/>
        <v>-1.0460956932786414E-16</v>
      </c>
      <c r="J634" s="28">
        <f t="shared" si="474"/>
        <v>-1.0327216804227899E-16</v>
      </c>
      <c r="K634" s="28">
        <f t="shared" si="474"/>
        <v>0</v>
      </c>
      <c r="L634" s="28">
        <f t="shared" si="474"/>
        <v>0</v>
      </c>
      <c r="M634" s="28">
        <f t="shared" si="474"/>
        <v>0</v>
      </c>
      <c r="N634" s="28">
        <f t="shared" si="474"/>
        <v>0</v>
      </c>
      <c r="O634" s="28">
        <f t="shared" si="474"/>
        <v>0</v>
      </c>
      <c r="P634" s="28">
        <f t="shared" si="474"/>
        <v>0</v>
      </c>
      <c r="Q634" s="28">
        <f t="shared" si="474"/>
        <v>0</v>
      </c>
      <c r="R634" s="28">
        <f t="shared" si="474"/>
        <v>0</v>
      </c>
      <c r="S634" s="28">
        <f t="shared" si="474"/>
        <v>-1.6545044053541308E-19</v>
      </c>
      <c r="T634" s="28">
        <f t="shared" si="474"/>
        <v>-1.6155863529019827E-18</v>
      </c>
      <c r="U634" s="28">
        <f t="shared" si="474"/>
        <v>-2.1894080848213691E-18</v>
      </c>
      <c r="V634" s="28">
        <f t="shared" si="474"/>
        <v>0</v>
      </c>
      <c r="W634" s="28">
        <f t="shared" si="474"/>
        <v>0</v>
      </c>
      <c r="X634" s="28">
        <f t="shared" si="474"/>
        <v>0</v>
      </c>
      <c r="Y634" s="28">
        <f t="shared" si="474"/>
        <v>-1.0050638058588504E-18</v>
      </c>
      <c r="Z634" s="28">
        <f t="shared" si="474"/>
        <v>-1.7766274672406417E-19</v>
      </c>
      <c r="AA634" s="28">
        <f t="shared" si="474"/>
        <v>-1.451388601667393E-17</v>
      </c>
      <c r="AB634" s="28">
        <f t="shared" si="474"/>
        <v>-1.1939506315064395E-17</v>
      </c>
      <c r="AC634" s="28">
        <f t="shared" si="474"/>
        <v>-3.4570907598902536E-18</v>
      </c>
      <c r="AD634" s="28">
        <f t="shared" si="474"/>
        <v>-4.3503100020944449E-17</v>
      </c>
      <c r="AE634" s="28">
        <f t="shared" si="474"/>
        <v>-3.8832046999278147E-17</v>
      </c>
      <c r="AF634" s="28">
        <f t="shared" si="474"/>
        <v>-6.5960247176958029E-17</v>
      </c>
      <c r="AG634" s="216"/>
    </row>
    <row r="635" spans="1:33" x14ac:dyDescent="0.2">
      <c r="A635" s="198" t="s">
        <v>441</v>
      </c>
      <c r="B635" s="212"/>
      <c r="C635" s="79">
        <f>C189*C172</f>
        <v>3.904490333866977E-12</v>
      </c>
      <c r="D635" s="79">
        <f t="shared" ref="D635:AF635" si="475">D189*D172</f>
        <v>3.4116905829905626E-12</v>
      </c>
      <c r="E635" s="79">
        <f t="shared" si="475"/>
        <v>3.1842445441245248E-12</v>
      </c>
      <c r="F635" s="79">
        <f t="shared" si="475"/>
        <v>3.6391366218565996E-12</v>
      </c>
      <c r="G635" s="79">
        <f t="shared" si="475"/>
        <v>4.852182162475467E-12</v>
      </c>
      <c r="H635" s="79">
        <f t="shared" si="475"/>
        <v>3.8665826607226375E-12</v>
      </c>
      <c r="I635" s="79">
        <f t="shared" si="475"/>
        <v>2.9188908321141478E-12</v>
      </c>
      <c r="J635" s="79">
        <f t="shared" si="475"/>
        <v>3.2600598904132042E-12</v>
      </c>
      <c r="K635" s="79">
        <f t="shared" si="475"/>
        <v>5.0668642581395858E-12</v>
      </c>
      <c r="L635" s="79">
        <f t="shared" si="475"/>
        <v>3.6849921877378803E-12</v>
      </c>
      <c r="M635" s="79">
        <f t="shared" si="475"/>
        <v>3.0708268231149006E-12</v>
      </c>
      <c r="N635" s="79">
        <f t="shared" si="475"/>
        <v>4.4910842288055425E-12</v>
      </c>
      <c r="O635" s="79">
        <f t="shared" si="475"/>
        <v>2.0344227703136217E-12</v>
      </c>
      <c r="P635" s="79">
        <f t="shared" si="475"/>
        <v>3.0324414878259645E-12</v>
      </c>
      <c r="Q635" s="79">
        <f t="shared" si="475"/>
        <v>3.6466068524489443E-12</v>
      </c>
      <c r="R635" s="79">
        <f t="shared" si="475"/>
        <v>2.0344227703136217E-12</v>
      </c>
      <c r="S635" s="79">
        <f t="shared" si="475"/>
        <v>2.1111934408914938E-12</v>
      </c>
      <c r="T635" s="79">
        <f t="shared" si="475"/>
        <v>3.0324414878259645E-12</v>
      </c>
      <c r="U635" s="79">
        <f t="shared" si="475"/>
        <v>2.7637441408034105E-12</v>
      </c>
      <c r="V635" s="79">
        <f t="shared" si="475"/>
        <v>2.7253588055144744E-12</v>
      </c>
      <c r="W635" s="79">
        <f t="shared" si="475"/>
        <v>3.9920748700493704E-12</v>
      </c>
      <c r="X635" s="79">
        <f t="shared" si="475"/>
        <v>1.9192667644468127E-12</v>
      </c>
      <c r="Y635" s="79">
        <f t="shared" si="475"/>
        <v>1.5737987468463865E-12</v>
      </c>
      <c r="Z635" s="79">
        <f t="shared" si="475"/>
        <v>3.2243681642706452E-12</v>
      </c>
      <c r="AA635" s="79">
        <f t="shared" si="475"/>
        <v>4.9279975087641452E-12</v>
      </c>
      <c r="AB635" s="79">
        <f t="shared" si="475"/>
        <v>5.1933512207745225E-12</v>
      </c>
      <c r="AC635" s="79">
        <f t="shared" si="475"/>
        <v>5.1933512207745225E-12</v>
      </c>
      <c r="AD635" s="79">
        <f t="shared" si="475"/>
        <v>5.1175358744858435E-12</v>
      </c>
      <c r="AE635" s="79">
        <f t="shared" si="475"/>
        <v>3.4116905829905626E-12</v>
      </c>
      <c r="AF635" s="79">
        <f t="shared" si="475"/>
        <v>5.9135970105169747E-12</v>
      </c>
      <c r="AG635" s="79"/>
    </row>
    <row r="636" spans="1:33" x14ac:dyDescent="0.2">
      <c r="A636" s="44" t="s">
        <v>479</v>
      </c>
      <c r="B636" s="64"/>
      <c r="C636" s="28">
        <f t="shared" ref="C636:AF636" si="476">C635*C262</f>
        <v>1.0911224824955632E-18</v>
      </c>
      <c r="D636" s="28">
        <f t="shared" si="476"/>
        <v>9.5340799441359889E-19</v>
      </c>
      <c r="E636" s="28">
        <f t="shared" si="476"/>
        <v>8.8984746145269223E-19</v>
      </c>
      <c r="F636" s="28">
        <f t="shared" si="476"/>
        <v>1.0169685273745054E-18</v>
      </c>
      <c r="G636" s="28">
        <f t="shared" si="476"/>
        <v>1.3559580364993407E-18</v>
      </c>
      <c r="H636" s="28">
        <f t="shared" si="476"/>
        <v>1.080529060335412E-18</v>
      </c>
      <c r="I636" s="28">
        <f t="shared" si="476"/>
        <v>8.1569350633163453E-19</v>
      </c>
      <c r="J636" s="28">
        <f t="shared" si="476"/>
        <v>9.1103430577299452E-19</v>
      </c>
      <c r="K636" s="28">
        <f t="shared" si="476"/>
        <v>6.4435636682168508E-19</v>
      </c>
      <c r="L636" s="28">
        <f t="shared" si="476"/>
        <v>4.686228122339528E-19</v>
      </c>
      <c r="M636" s="28">
        <f t="shared" si="476"/>
        <v>3.905190101949607E-19</v>
      </c>
      <c r="N636" s="28">
        <f t="shared" si="476"/>
        <v>5.7113405241013008E-19</v>
      </c>
      <c r="O636" s="28">
        <f t="shared" si="476"/>
        <v>2.5871884425416148E-19</v>
      </c>
      <c r="P636" s="28">
        <f t="shared" si="476"/>
        <v>3.856375225675237E-19</v>
      </c>
      <c r="Q636" s="28">
        <f t="shared" si="476"/>
        <v>4.6374132460651575E-19</v>
      </c>
      <c r="R636" s="28">
        <f t="shared" si="476"/>
        <v>3.4181626934493461E-19</v>
      </c>
      <c r="S636" s="28">
        <f t="shared" si="476"/>
        <v>3.547149964900264E-19</v>
      </c>
      <c r="T636" s="28">
        <f t="shared" si="476"/>
        <v>5.0949972223112893E-19</v>
      </c>
      <c r="U636" s="28">
        <f t="shared" si="476"/>
        <v>4.6435417722330738E-19</v>
      </c>
      <c r="V636" s="28">
        <f t="shared" si="476"/>
        <v>4.5790481365076148E-19</v>
      </c>
      <c r="W636" s="28">
        <f t="shared" si="476"/>
        <v>6.7073381154477725E-19</v>
      </c>
      <c r="X636" s="28">
        <f t="shared" si="476"/>
        <v>3.2246817862729674E-19</v>
      </c>
      <c r="Y636" s="28">
        <f t="shared" si="476"/>
        <v>2.6442390647438335E-19</v>
      </c>
      <c r="Z636" s="28">
        <f t="shared" si="476"/>
        <v>5.4174654009385849E-19</v>
      </c>
      <c r="AA636" s="28">
        <f t="shared" si="476"/>
        <v>1.3771448808196426E-18</v>
      </c>
      <c r="AB636" s="28">
        <f t="shared" si="476"/>
        <v>1.4512988359407004E-18</v>
      </c>
      <c r="AC636" s="28">
        <f t="shared" si="476"/>
        <v>1.4512988359407004E-18</v>
      </c>
      <c r="AD636" s="28">
        <f t="shared" si="476"/>
        <v>1.4301119916203981E-18</v>
      </c>
      <c r="AE636" s="28">
        <f t="shared" si="476"/>
        <v>9.5340799441359889E-19</v>
      </c>
      <c r="AF636" s="28">
        <f t="shared" si="476"/>
        <v>1.6525738569835712E-18</v>
      </c>
      <c r="AG636" s="28"/>
    </row>
    <row r="637" spans="1:33" x14ac:dyDescent="0.2">
      <c r="A637" s="198" t="s">
        <v>442</v>
      </c>
      <c r="B637" s="212"/>
      <c r="C637" s="79">
        <f>C189*C230</f>
        <v>2.3179317144957854E-14</v>
      </c>
      <c r="D637" s="79">
        <f t="shared" ref="D637:AF637" si="477">D189*D230</f>
        <v>2.3179317144957854E-14</v>
      </c>
      <c r="E637" s="79">
        <f t="shared" si="477"/>
        <v>2.3179317144957854E-14</v>
      </c>
      <c r="F637" s="79">
        <f t="shared" si="477"/>
        <v>2.3179317144957854E-14</v>
      </c>
      <c r="G637" s="79">
        <f t="shared" si="477"/>
        <v>2.3179317144957854E-14</v>
      </c>
      <c r="H637" s="79">
        <f t="shared" si="477"/>
        <v>2.3179317144957854E-14</v>
      </c>
      <c r="I637" s="79">
        <f t="shared" si="477"/>
        <v>2.3179317144957854E-14</v>
      </c>
      <c r="J637" s="79">
        <f t="shared" si="477"/>
        <v>2.3179317144957854E-14</v>
      </c>
      <c r="K637" s="79">
        <f t="shared" si="477"/>
        <v>1.5539390492312189E-14</v>
      </c>
      <c r="L637" s="79">
        <f t="shared" si="477"/>
        <v>1.8865052417078583E-14</v>
      </c>
      <c r="M637" s="79">
        <f t="shared" si="477"/>
        <v>1.8496694230472998E-14</v>
      </c>
      <c r="N637" s="79">
        <f t="shared" si="477"/>
        <v>2.1727284061375621E-14</v>
      </c>
      <c r="O637" s="79">
        <f t="shared" si="477"/>
        <v>1.5875335567755567E-14</v>
      </c>
      <c r="P637" s="79">
        <f t="shared" si="477"/>
        <v>1.4944148848139525E-14</v>
      </c>
      <c r="Q637" s="79">
        <f t="shared" si="477"/>
        <v>1.1589471017208216E-14</v>
      </c>
      <c r="R637" s="79">
        <f t="shared" si="477"/>
        <v>2.2366088784914197E-14</v>
      </c>
      <c r="S637" s="79">
        <f t="shared" si="477"/>
        <v>2.3179317144957854E-14</v>
      </c>
      <c r="T637" s="79">
        <f t="shared" si="477"/>
        <v>2.3179317144957854E-14</v>
      </c>
      <c r="U637" s="79">
        <f t="shared" si="477"/>
        <v>2.3179317144957854E-14</v>
      </c>
      <c r="V637" s="79">
        <f t="shared" si="477"/>
        <v>1.5680406574461536E-14</v>
      </c>
      <c r="W637" s="79">
        <f t="shared" si="477"/>
        <v>2.0903450909350231E-14</v>
      </c>
      <c r="X637" s="79">
        <f t="shared" si="477"/>
        <v>1.9997813487442829E-14</v>
      </c>
      <c r="Y637" s="79">
        <f t="shared" si="477"/>
        <v>2.3179317144957854E-14</v>
      </c>
      <c r="Z637" s="79">
        <f t="shared" si="477"/>
        <v>2.3179317144957854E-14</v>
      </c>
      <c r="AA637" s="79">
        <f t="shared" si="477"/>
        <v>2.3179317144957854E-14</v>
      </c>
      <c r="AB637" s="79">
        <f t="shared" si="477"/>
        <v>2.3179317144957854E-14</v>
      </c>
      <c r="AC637" s="79">
        <f t="shared" si="477"/>
        <v>2.3179317144957854E-14</v>
      </c>
      <c r="AD637" s="79">
        <f t="shared" si="477"/>
        <v>2.3179317144957854E-14</v>
      </c>
      <c r="AE637" s="79">
        <f t="shared" si="477"/>
        <v>2.3179317144957854E-14</v>
      </c>
      <c r="AF637" s="79">
        <f t="shared" si="477"/>
        <v>2.3179317144957854E-14</v>
      </c>
      <c r="AG637" s="211"/>
    </row>
    <row r="638" spans="1:33" x14ac:dyDescent="0.2">
      <c r="A638" s="44" t="s">
        <v>479</v>
      </c>
      <c r="B638" s="64"/>
      <c r="C638" s="28">
        <f t="shared" ref="C638:AF638" si="478">C637*C274</f>
        <v>7.8000911259905116E-18</v>
      </c>
      <c r="D638" s="28">
        <f t="shared" si="478"/>
        <v>7.8000911259905116E-18</v>
      </c>
      <c r="E638" s="28">
        <f t="shared" si="478"/>
        <v>7.8000911259905116E-18</v>
      </c>
      <c r="F638" s="28">
        <f t="shared" si="478"/>
        <v>7.8000911259905116E-18</v>
      </c>
      <c r="G638" s="28">
        <f t="shared" si="478"/>
        <v>7.8000911259905116E-18</v>
      </c>
      <c r="H638" s="28">
        <f t="shared" si="478"/>
        <v>7.8000911259905116E-18</v>
      </c>
      <c r="I638" s="28">
        <f t="shared" si="478"/>
        <v>7.8000911259905116E-18</v>
      </c>
      <c r="J638" s="28">
        <f t="shared" si="478"/>
        <v>7.8000911259905116E-18</v>
      </c>
      <c r="K638" s="28">
        <f t="shared" si="478"/>
        <v>5.2291731082661294E-18</v>
      </c>
      <c r="L638" s="28">
        <f t="shared" si="478"/>
        <v>6.348294344892276E-18</v>
      </c>
      <c r="M638" s="28">
        <f t="shared" si="478"/>
        <v>6.2243378277714429E-18</v>
      </c>
      <c r="N638" s="28">
        <f t="shared" si="478"/>
        <v>7.3114662756955523E-18</v>
      </c>
      <c r="O638" s="28">
        <f t="shared" si="478"/>
        <v>5.3422222626220898E-18</v>
      </c>
      <c r="P638" s="28">
        <f t="shared" si="478"/>
        <v>5.0288678517525152E-18</v>
      </c>
      <c r="Q638" s="28">
        <f t="shared" si="478"/>
        <v>3.8999824486164519E-18</v>
      </c>
      <c r="R638" s="28">
        <f t="shared" si="478"/>
        <v>7.5264309799684725E-18</v>
      </c>
      <c r="S638" s="28">
        <f t="shared" si="478"/>
        <v>7.8000911259905116E-18</v>
      </c>
      <c r="T638" s="28">
        <f t="shared" si="478"/>
        <v>7.8000911259905116E-18</v>
      </c>
      <c r="U638" s="28">
        <f t="shared" si="478"/>
        <v>7.8000911259905116E-18</v>
      </c>
      <c r="V638" s="28">
        <f t="shared" si="478"/>
        <v>5.2766265463513116E-18</v>
      </c>
      <c r="W638" s="28">
        <f t="shared" si="478"/>
        <v>7.0342375023790844E-18</v>
      </c>
      <c r="X638" s="28">
        <f t="shared" si="478"/>
        <v>6.7294807067492588E-18</v>
      </c>
      <c r="Y638" s="28">
        <f t="shared" si="478"/>
        <v>7.8000911259905116E-18</v>
      </c>
      <c r="Z638" s="28">
        <f t="shared" si="478"/>
        <v>7.8000911259905116E-18</v>
      </c>
      <c r="AA638" s="28">
        <f t="shared" si="478"/>
        <v>7.8000911259905116E-18</v>
      </c>
      <c r="AB638" s="28">
        <f t="shared" si="478"/>
        <v>7.8000911259905116E-18</v>
      </c>
      <c r="AC638" s="28">
        <f t="shared" si="478"/>
        <v>7.8000911259905116E-18</v>
      </c>
      <c r="AD638" s="28">
        <f t="shared" si="478"/>
        <v>7.8000911259905116E-18</v>
      </c>
      <c r="AE638" s="28">
        <f t="shared" si="478"/>
        <v>7.8000911259905116E-18</v>
      </c>
      <c r="AF638" s="28">
        <f t="shared" si="478"/>
        <v>7.8000911259905116E-18</v>
      </c>
      <c r="AG638" s="216"/>
    </row>
    <row r="639" spans="1:33" x14ac:dyDescent="0.2">
      <c r="A639" s="198" t="s">
        <v>443</v>
      </c>
      <c r="B639" s="212"/>
      <c r="C639" s="79">
        <f>-C189*C172</f>
        <v>-3.904490333866977E-12</v>
      </c>
      <c r="D639" s="79">
        <f t="shared" ref="D639:AF639" si="479">-D189*D172</f>
        <v>-3.4116905829905626E-12</v>
      </c>
      <c r="E639" s="79">
        <f t="shared" si="479"/>
        <v>-3.1842445441245248E-12</v>
      </c>
      <c r="F639" s="79">
        <f t="shared" si="479"/>
        <v>-3.6391366218565996E-12</v>
      </c>
      <c r="G639" s="79">
        <f t="shared" si="479"/>
        <v>-4.852182162475467E-12</v>
      </c>
      <c r="H639" s="79">
        <f t="shared" si="479"/>
        <v>-3.8665826607226375E-12</v>
      </c>
      <c r="I639" s="79">
        <f t="shared" si="479"/>
        <v>-2.9188908321141478E-12</v>
      </c>
      <c r="J639" s="79">
        <f t="shared" si="479"/>
        <v>-3.2600598904132042E-12</v>
      </c>
      <c r="K639" s="79">
        <f t="shared" si="479"/>
        <v>-5.0668642581395858E-12</v>
      </c>
      <c r="L639" s="79">
        <f t="shared" si="479"/>
        <v>-3.6849921877378803E-12</v>
      </c>
      <c r="M639" s="79">
        <f t="shared" si="479"/>
        <v>-3.0708268231149006E-12</v>
      </c>
      <c r="N639" s="79">
        <f t="shared" si="479"/>
        <v>-4.4910842288055425E-12</v>
      </c>
      <c r="O639" s="79">
        <f t="shared" si="479"/>
        <v>-2.0344227703136217E-12</v>
      </c>
      <c r="P639" s="79">
        <f t="shared" si="479"/>
        <v>-3.0324414878259645E-12</v>
      </c>
      <c r="Q639" s="79">
        <f t="shared" si="479"/>
        <v>-3.6466068524489443E-12</v>
      </c>
      <c r="R639" s="79">
        <f t="shared" si="479"/>
        <v>-2.0344227703136217E-12</v>
      </c>
      <c r="S639" s="79">
        <f t="shared" si="479"/>
        <v>-2.1111934408914938E-12</v>
      </c>
      <c r="T639" s="79">
        <f t="shared" si="479"/>
        <v>-3.0324414878259645E-12</v>
      </c>
      <c r="U639" s="79">
        <f t="shared" si="479"/>
        <v>-2.7637441408034105E-12</v>
      </c>
      <c r="V639" s="79">
        <f t="shared" si="479"/>
        <v>-2.7253588055144744E-12</v>
      </c>
      <c r="W639" s="79">
        <f t="shared" si="479"/>
        <v>-3.9920748700493704E-12</v>
      </c>
      <c r="X639" s="79">
        <f t="shared" si="479"/>
        <v>-1.9192667644468127E-12</v>
      </c>
      <c r="Y639" s="79">
        <f t="shared" si="479"/>
        <v>-1.5737987468463865E-12</v>
      </c>
      <c r="Z639" s="79">
        <f t="shared" si="479"/>
        <v>-3.2243681642706452E-12</v>
      </c>
      <c r="AA639" s="79">
        <f t="shared" si="479"/>
        <v>-4.9279975087641452E-12</v>
      </c>
      <c r="AB639" s="79">
        <f t="shared" si="479"/>
        <v>-5.1933512207745225E-12</v>
      </c>
      <c r="AC639" s="79">
        <f t="shared" si="479"/>
        <v>-5.1933512207745225E-12</v>
      </c>
      <c r="AD639" s="79">
        <f t="shared" si="479"/>
        <v>-5.1175358744858435E-12</v>
      </c>
      <c r="AE639" s="79">
        <f t="shared" si="479"/>
        <v>-3.4116905829905626E-12</v>
      </c>
      <c r="AF639" s="79">
        <f t="shared" si="479"/>
        <v>-5.9135970105169747E-12</v>
      </c>
      <c r="AG639" s="79"/>
    </row>
    <row r="640" spans="1:33" x14ac:dyDescent="0.2">
      <c r="A640" s="44" t="s">
        <v>479</v>
      </c>
      <c r="B640" s="64"/>
      <c r="C640" s="28">
        <f t="shared" ref="C640:AF640" si="480">C639*C251</f>
        <v>-1.0212226417029401E-17</v>
      </c>
      <c r="D640" s="28">
        <f t="shared" si="480"/>
        <v>-2.5521520960641682E-17</v>
      </c>
      <c r="E640" s="28">
        <f t="shared" si="480"/>
        <v>-1.7671550872599141E-17</v>
      </c>
      <c r="F640" s="28">
        <f t="shared" si="480"/>
        <v>-2.5983252437426384E-17</v>
      </c>
      <c r="G640" s="28">
        <f t="shared" si="480"/>
        <v>-4.1766148774461038E-17</v>
      </c>
      <c r="H640" s="28">
        <f t="shared" si="480"/>
        <v>-1.9509270256150042E-17</v>
      </c>
      <c r="I640" s="28">
        <f t="shared" si="480"/>
        <v>-2.1622223755218966E-17</v>
      </c>
      <c r="J640" s="28">
        <f t="shared" si="480"/>
        <v>-1.2409728592564204E-17</v>
      </c>
      <c r="K640" s="28">
        <f t="shared" si="480"/>
        <v>-2.8709063944765363E-18</v>
      </c>
      <c r="L640" s="28">
        <f t="shared" si="480"/>
        <v>-4.0965658389012286E-18</v>
      </c>
      <c r="M640" s="28">
        <f t="shared" si="480"/>
        <v>-3.1949044539795449E-18</v>
      </c>
      <c r="N640" s="28">
        <f t="shared" si="480"/>
        <v>-4.3677088529883359E-18</v>
      </c>
      <c r="O640" s="28">
        <f t="shared" si="480"/>
        <v>-2.1185973749957926E-18</v>
      </c>
      <c r="P640" s="28">
        <f t="shared" si="480"/>
        <v>-3.1080668792208987E-18</v>
      </c>
      <c r="Q640" s="28">
        <f t="shared" si="480"/>
        <v>-3.3592988453395921E-18</v>
      </c>
      <c r="R640" s="28">
        <f t="shared" si="480"/>
        <v>-5.3307755427581213E-18</v>
      </c>
      <c r="S640" s="28">
        <f t="shared" si="480"/>
        <v>-5.6788944253405309E-18</v>
      </c>
      <c r="T640" s="28">
        <f t="shared" si="480"/>
        <v>-6.390963954372504E-18</v>
      </c>
      <c r="U640" s="28">
        <f t="shared" si="480"/>
        <v>-4.5816353024640924E-18</v>
      </c>
      <c r="V640" s="28">
        <f t="shared" si="480"/>
        <v>-3.1554826396035538E-18</v>
      </c>
      <c r="W640" s="28">
        <f t="shared" si="480"/>
        <v>-3.0461027746380082E-18</v>
      </c>
      <c r="X640" s="28">
        <f t="shared" si="480"/>
        <v>-3.052224595617151E-18</v>
      </c>
      <c r="Y640" s="28">
        <f t="shared" si="480"/>
        <v>-4.383998814210258E-18</v>
      </c>
      <c r="Z640" s="28">
        <f t="shared" si="480"/>
        <v>-4.0857211585228626E-18</v>
      </c>
      <c r="AA640" s="28">
        <f t="shared" si="480"/>
        <v>-9.6577724871211985E-18</v>
      </c>
      <c r="AB640" s="28">
        <f t="shared" si="480"/>
        <v>-1.2677756196081144E-17</v>
      </c>
      <c r="AC640" s="28">
        <f t="shared" si="480"/>
        <v>-8.0202812854616203E-18</v>
      </c>
      <c r="AD640" s="28">
        <f t="shared" si="480"/>
        <v>-1.4160375754221541E-17</v>
      </c>
      <c r="AE640" s="28">
        <f t="shared" si="480"/>
        <v>-1.309725359354152E-17</v>
      </c>
      <c r="AF640" s="28">
        <f t="shared" si="480"/>
        <v>-2.1185256491534821E-17</v>
      </c>
      <c r="AG640" s="28"/>
    </row>
    <row r="641" spans="1:33" s="85" customFormat="1" x14ac:dyDescent="0.2">
      <c r="A641" s="198" t="s">
        <v>334</v>
      </c>
      <c r="B641" s="223"/>
      <c r="C641" s="30">
        <f>(C22*C18*((C253/C22)^2-(C251/C18)^2-(C254/(C22/C18))^2))/2</f>
        <v>-1.2538832785803361E-10</v>
      </c>
      <c r="D641" s="30">
        <f t="shared" ref="D641:AF641" si="481">(D22*D18*((D253/D22)^2-(D251/D18)^2-(D254/(D22/D18))^2))/2</f>
        <v>-1.0393424699848774E-9</v>
      </c>
      <c r="E641" s="30">
        <f t="shared" si="481"/>
        <v>-5.4959743544352235E-10</v>
      </c>
      <c r="F641" s="30">
        <f t="shared" si="481"/>
        <v>-8.8315121251796054E-10</v>
      </c>
      <c r="G641" s="30">
        <f t="shared" si="481"/>
        <v>-1.3673042204190652E-9</v>
      </c>
      <c r="H641" s="30">
        <f t="shared" si="481"/>
        <v>-4.5599099017445809E-10</v>
      </c>
      <c r="I641" s="30">
        <f t="shared" si="481"/>
        <v>-9.8758398986301207E-10</v>
      </c>
      <c r="J641" s="30">
        <f t="shared" si="481"/>
        <v>-2.6699090398328302E-10</v>
      </c>
      <c r="K641" s="30">
        <f t="shared" si="481"/>
        <v>-6.9720636356741412E-11</v>
      </c>
      <c r="L641" s="30">
        <f t="shared" si="481"/>
        <v>-1.8726779278786157E-10</v>
      </c>
      <c r="M641" s="30">
        <f t="shared" si="481"/>
        <v>-1.5887520523785603E-10</v>
      </c>
      <c r="N641" s="30">
        <f t="shared" si="481"/>
        <v>-1.8125335374443144E-10</v>
      </c>
      <c r="O641" s="30">
        <f t="shared" si="481"/>
        <v>-8.64633090012886E-11</v>
      </c>
      <c r="P641" s="30">
        <f t="shared" si="481"/>
        <v>-1.5781395052985513E-10</v>
      </c>
      <c r="Q641" s="30">
        <f t="shared" si="481"/>
        <v>-3.3058899355939034E-11</v>
      </c>
      <c r="R641" s="30">
        <f t="shared" si="481"/>
        <v>-2.7951877087103006E-10</v>
      </c>
      <c r="S641" s="30">
        <f t="shared" si="481"/>
        <v>-2.994374312884118E-10</v>
      </c>
      <c r="T641" s="30">
        <f t="shared" si="481"/>
        <v>-1.4907383188914221E-10</v>
      </c>
      <c r="U641" s="30">
        <f t="shared" si="481"/>
        <v>-7.7730847141467767E-11</v>
      </c>
      <c r="V641" s="30">
        <f t="shared" si="481"/>
        <v>-2.9258774609214263E-11</v>
      </c>
      <c r="W641" s="30">
        <f t="shared" si="481"/>
        <v>-1.0593368290145875E-11</v>
      </c>
      <c r="X641" s="30">
        <f t="shared" si="481"/>
        <v>-8.8380924338873847E-11</v>
      </c>
      <c r="Y641" s="30">
        <f t="shared" si="481"/>
        <v>-2.1845377541930816E-10</v>
      </c>
      <c r="Z641" s="30">
        <f t="shared" si="481"/>
        <v>-3.2158803918536516E-11</v>
      </c>
      <c r="AA641" s="30">
        <f t="shared" si="481"/>
        <v>-9.1499906743406948E-9</v>
      </c>
      <c r="AB641" s="30">
        <f t="shared" si="481"/>
        <v>-1.5237080929243326E-8</v>
      </c>
      <c r="AC641" s="30">
        <f t="shared" si="481"/>
        <v>-4.6485672046432751E-9</v>
      </c>
      <c r="AD641" s="30">
        <f t="shared" si="481"/>
        <v>-1.4940076784912978E-8</v>
      </c>
      <c r="AE641" s="30">
        <f t="shared" si="481"/>
        <v>-3.0476359715179828E-8</v>
      </c>
      <c r="AF641" s="30">
        <f t="shared" si="481"/>
        <v>-1.4353154335657658E-8</v>
      </c>
      <c r="AG641" s="30"/>
    </row>
    <row r="642" spans="1:33" s="85" customFormat="1" x14ac:dyDescent="0.2">
      <c r="A642" s="5" t="s">
        <v>174</v>
      </c>
      <c r="B642" s="223"/>
      <c r="C642" s="515">
        <f>C641*C623*C639</f>
        <v>4.9921748491272493E-35</v>
      </c>
      <c r="D642" s="515">
        <f t="shared" ref="D642:AF642" si="482">D641*D623*D639</f>
        <v>3.1593804072890263E-34</v>
      </c>
      <c r="E642" s="515">
        <f t="shared" si="482"/>
        <v>1.4553300518270839E-34</v>
      </c>
      <c r="F642" s="515">
        <f t="shared" si="482"/>
        <v>3.0544692922209114E-34</v>
      </c>
      <c r="G642" s="515">
        <f t="shared" si="482"/>
        <v>8.4070440188314066E-34</v>
      </c>
      <c r="H642" s="515">
        <f t="shared" si="482"/>
        <v>1.7803887151865549E-34</v>
      </c>
      <c r="I642" s="515">
        <f t="shared" si="482"/>
        <v>2.1974232681492884E-34</v>
      </c>
      <c r="J642" s="515">
        <f t="shared" si="482"/>
        <v>7.4105696939344097E-35</v>
      </c>
      <c r="K642" s="515">
        <f t="shared" si="482"/>
        <v>4.6745935425490254E-35</v>
      </c>
      <c r="L642" s="515">
        <f t="shared" si="482"/>
        <v>6.6411028759436948E-35</v>
      </c>
      <c r="M642" s="515">
        <f t="shared" si="482"/>
        <v>3.9126477305643196E-35</v>
      </c>
      <c r="N642" s="515">
        <f t="shared" si="482"/>
        <v>9.5475606224924115E-35</v>
      </c>
      <c r="O642" s="515">
        <f t="shared" si="482"/>
        <v>9.3458378432904435E-36</v>
      </c>
      <c r="P642" s="515">
        <f t="shared" si="482"/>
        <v>3.7899564904104631E-35</v>
      </c>
      <c r="Q642" s="515">
        <f t="shared" si="482"/>
        <v>1.1480749759305298E-35</v>
      </c>
      <c r="R642" s="515">
        <f t="shared" si="482"/>
        <v>3.0234973287881829E-35</v>
      </c>
      <c r="S642" s="515">
        <f t="shared" si="482"/>
        <v>3.4889012061555099E-35</v>
      </c>
      <c r="T642" s="515">
        <f t="shared" si="482"/>
        <v>3.5782606815406007E-35</v>
      </c>
      <c r="U642" s="515">
        <f t="shared" si="482"/>
        <v>1.5502211506079952E-35</v>
      </c>
      <c r="V642" s="515">
        <f t="shared" si="482"/>
        <v>5.6752156672067476E-36</v>
      </c>
      <c r="W642" s="515">
        <f t="shared" si="482"/>
        <v>4.404091865424256E-36</v>
      </c>
      <c r="X642" s="515">
        <f t="shared" si="482"/>
        <v>8.4844945631007879E-36</v>
      </c>
      <c r="Y642" s="515">
        <f t="shared" si="482"/>
        <v>1.4123951508709401E-35</v>
      </c>
      <c r="Z642" s="515">
        <f t="shared" si="482"/>
        <v>8.7288179489568209E-36</v>
      </c>
      <c r="AA642" s="515">
        <f t="shared" si="482"/>
        <v>5.7927780709717055E-33</v>
      </c>
      <c r="AB642" s="515">
        <f t="shared" si="482"/>
        <v>1.0713279685059906E-32</v>
      </c>
      <c r="AC642" s="515">
        <f t="shared" si="482"/>
        <v>3.2684344743854854E-33</v>
      </c>
      <c r="AD642" s="515">
        <f t="shared" si="482"/>
        <v>1.0199993638763886E-32</v>
      </c>
      <c r="AE642" s="515">
        <f t="shared" si="482"/>
        <v>9.2475703573188362E-33</v>
      </c>
      <c r="AF642" s="515">
        <f t="shared" si="482"/>
        <v>1.3085071070287191E-32</v>
      </c>
      <c r="AG642" s="87"/>
    </row>
    <row r="643" spans="1:33" s="85" customFormat="1" x14ac:dyDescent="0.2">
      <c r="A643" s="5" t="s">
        <v>335</v>
      </c>
      <c r="B643" s="223"/>
      <c r="C643" s="30">
        <f>(C206*(1/C198)*((C276/C206)^2-(C274/(1/C198))^2-(C277/C202)^2))/2</f>
        <v>-3.7489374916979729E-6</v>
      </c>
      <c r="D643" s="30">
        <f t="shared" ref="D643:AF643" si="483">(D206*(1/D198)*((D276/D206)^2-(D274/(1/D198))^2-(D277/D202)^2))/2</f>
        <v>-3.7489374916979729E-6</v>
      </c>
      <c r="E643" s="30">
        <f t="shared" si="483"/>
        <v>-3.7489374916979729E-6</v>
      </c>
      <c r="F643" s="30">
        <f t="shared" si="483"/>
        <v>-3.7489374916979729E-6</v>
      </c>
      <c r="G643" s="30">
        <f t="shared" si="483"/>
        <v>-3.7489374916979729E-6</v>
      </c>
      <c r="H643" s="30">
        <f t="shared" si="483"/>
        <v>-3.7489374916979729E-6</v>
      </c>
      <c r="I643" s="30">
        <f t="shared" si="483"/>
        <v>-3.7489374916979729E-6</v>
      </c>
      <c r="J643" s="30">
        <f t="shared" si="483"/>
        <v>-3.7489374916979729E-6</v>
      </c>
      <c r="K643" s="30">
        <f t="shared" si="483"/>
        <v>-3.7489374916979729E-6</v>
      </c>
      <c r="L643" s="30">
        <f t="shared" si="483"/>
        <v>-3.7489374916979729E-6</v>
      </c>
      <c r="M643" s="30">
        <f t="shared" si="483"/>
        <v>-3.7489374916979729E-6</v>
      </c>
      <c r="N643" s="30">
        <f t="shared" si="483"/>
        <v>-3.7489374916979729E-6</v>
      </c>
      <c r="O643" s="30">
        <f t="shared" si="483"/>
        <v>-3.7489374916979729E-6</v>
      </c>
      <c r="P643" s="30">
        <f t="shared" si="483"/>
        <v>-3.7489374916979729E-6</v>
      </c>
      <c r="Q643" s="30">
        <f t="shared" si="483"/>
        <v>-3.7489374916979729E-6</v>
      </c>
      <c r="R643" s="30">
        <f t="shared" si="483"/>
        <v>-3.7489374916979729E-6</v>
      </c>
      <c r="S643" s="30">
        <f t="shared" si="483"/>
        <v>-3.7489374916979729E-6</v>
      </c>
      <c r="T643" s="30">
        <f t="shared" si="483"/>
        <v>-3.7489374916979729E-6</v>
      </c>
      <c r="U643" s="30">
        <f t="shared" si="483"/>
        <v>-3.7489374916979729E-6</v>
      </c>
      <c r="V643" s="30">
        <f t="shared" si="483"/>
        <v>-3.7489374916979729E-6</v>
      </c>
      <c r="W643" s="30">
        <f t="shared" si="483"/>
        <v>-3.7489374916979729E-6</v>
      </c>
      <c r="X643" s="30">
        <f t="shared" si="483"/>
        <v>-3.7489374916979729E-6</v>
      </c>
      <c r="Y643" s="30">
        <f t="shared" si="483"/>
        <v>-3.7489374916979729E-6</v>
      </c>
      <c r="Z643" s="30">
        <f t="shared" si="483"/>
        <v>-3.7489374916979729E-6</v>
      </c>
      <c r="AA643" s="30">
        <f t="shared" si="483"/>
        <v>-3.7489374916979729E-6</v>
      </c>
      <c r="AB643" s="30">
        <f t="shared" si="483"/>
        <v>-3.7489374916979729E-6</v>
      </c>
      <c r="AC643" s="30">
        <f t="shared" si="483"/>
        <v>-3.7489374916979729E-6</v>
      </c>
      <c r="AD643" s="30">
        <f t="shared" si="483"/>
        <v>-3.7489374916979729E-6</v>
      </c>
      <c r="AE643" s="30">
        <f t="shared" si="483"/>
        <v>-3.7489374916979729E-6</v>
      </c>
      <c r="AF643" s="30">
        <f t="shared" si="483"/>
        <v>-3.7489374916979729E-6</v>
      </c>
      <c r="AG643" s="30"/>
    </row>
    <row r="644" spans="1:33" s="85" customFormat="1" x14ac:dyDescent="0.2">
      <c r="A644" s="5" t="s">
        <v>174</v>
      </c>
      <c r="B644" s="223"/>
      <c r="C644" s="515">
        <f>C643*C629*C637</f>
        <v>5.2352065529012431E-35</v>
      </c>
      <c r="D644" s="515">
        <f t="shared" ref="D644:AF644" si="484">D643*D629*D637</f>
        <v>5.2352065529012431E-35</v>
      </c>
      <c r="E644" s="515">
        <f t="shared" si="484"/>
        <v>5.2352065529012431E-35</v>
      </c>
      <c r="F644" s="515">
        <f t="shared" si="484"/>
        <v>5.2352065529012431E-35</v>
      </c>
      <c r="G644" s="515">
        <f t="shared" si="484"/>
        <v>5.2352065529012431E-35</v>
      </c>
      <c r="H644" s="515">
        <f t="shared" si="484"/>
        <v>5.2352065529012431E-35</v>
      </c>
      <c r="I644" s="515">
        <f t="shared" si="484"/>
        <v>5.2352065529012431E-35</v>
      </c>
      <c r="J644" s="515">
        <f t="shared" si="484"/>
        <v>5.2352065529012431E-35</v>
      </c>
      <c r="K644" s="515">
        <f t="shared" si="484"/>
        <v>2.3528839463439813E-35</v>
      </c>
      <c r="L644" s="515">
        <f t="shared" si="484"/>
        <v>3.4677563722413219E-35</v>
      </c>
      <c r="M644" s="515">
        <f t="shared" si="484"/>
        <v>3.333655981462843E-35</v>
      </c>
      <c r="N644" s="515">
        <f t="shared" si="484"/>
        <v>4.5998474684281398E-35</v>
      </c>
      <c r="O644" s="515">
        <f t="shared" si="484"/>
        <v>2.4557173243170422E-35</v>
      </c>
      <c r="P644" s="515">
        <f t="shared" si="484"/>
        <v>2.1760802893640553E-35</v>
      </c>
      <c r="Q644" s="515">
        <f t="shared" si="484"/>
        <v>1.3087592779335408E-35</v>
      </c>
      <c r="R644" s="515">
        <f t="shared" si="484"/>
        <v>4.8743042621411616E-35</v>
      </c>
      <c r="S644" s="515">
        <f t="shared" si="484"/>
        <v>5.2352065529012431E-35</v>
      </c>
      <c r="T644" s="515">
        <f t="shared" si="484"/>
        <v>5.2352065529012431E-35</v>
      </c>
      <c r="U644" s="515">
        <f t="shared" si="484"/>
        <v>5.2352065529012431E-35</v>
      </c>
      <c r="V644" s="515">
        <f t="shared" si="484"/>
        <v>2.395781375554216E-35</v>
      </c>
      <c r="W644" s="515">
        <f t="shared" si="484"/>
        <v>4.2576359442388544E-35</v>
      </c>
      <c r="X644" s="515">
        <f t="shared" si="484"/>
        <v>3.8967053974610639E-35</v>
      </c>
      <c r="Y644" s="515">
        <f t="shared" si="484"/>
        <v>5.2352065529012431E-35</v>
      </c>
      <c r="Z644" s="515">
        <f t="shared" si="484"/>
        <v>5.2352065529012431E-35</v>
      </c>
      <c r="AA644" s="515">
        <f t="shared" si="484"/>
        <v>5.2352065529012431E-35</v>
      </c>
      <c r="AB644" s="515">
        <f t="shared" si="484"/>
        <v>5.2352065529012431E-35</v>
      </c>
      <c r="AC644" s="515">
        <f t="shared" si="484"/>
        <v>5.2352065529012431E-35</v>
      </c>
      <c r="AD644" s="515">
        <f t="shared" si="484"/>
        <v>5.2352065529012431E-35</v>
      </c>
      <c r="AE644" s="515">
        <f t="shared" si="484"/>
        <v>5.2352065529012431E-35</v>
      </c>
      <c r="AF644" s="515">
        <f t="shared" si="484"/>
        <v>5.2352065529012431E-35</v>
      </c>
      <c r="AG644" s="87"/>
    </row>
    <row r="645" spans="1:33" s="85" customFormat="1" x14ac:dyDescent="0.2">
      <c r="A645" s="5" t="s">
        <v>336</v>
      </c>
      <c r="B645" s="223"/>
      <c r="C645" s="30">
        <f>(C160*C158*((C263/C160)^2-(C262/C158)^2-(C264/(C160/C158))^2))/2</f>
        <v>-1.1579885768903975E-12</v>
      </c>
      <c r="D645" s="30">
        <f t="shared" ref="D645:AF645" si="485">(D160*D158*((D263/D160)^2-(D262/D158)^2-(D264/(D160/D158))^2))/2</f>
        <v>-1.1579885768903975E-12</v>
      </c>
      <c r="E645" s="30">
        <f t="shared" si="485"/>
        <v>-1.1579885768903975E-12</v>
      </c>
      <c r="F645" s="30">
        <f t="shared" si="485"/>
        <v>-1.1579885768903975E-12</v>
      </c>
      <c r="G645" s="30">
        <f t="shared" si="485"/>
        <v>-1.1579885768903975E-12</v>
      </c>
      <c r="H645" s="30">
        <f t="shared" si="485"/>
        <v>-1.1579885768903975E-12</v>
      </c>
      <c r="I645" s="30">
        <f t="shared" si="485"/>
        <v>-1.1579885768903975E-12</v>
      </c>
      <c r="J645" s="30">
        <f t="shared" si="485"/>
        <v>-1.1579885768903975E-12</v>
      </c>
      <c r="K645" s="30">
        <f t="shared" si="485"/>
        <v>2.046175374490045E-14</v>
      </c>
      <c r="L645" s="30">
        <f t="shared" si="485"/>
        <v>2.046175374490045E-14</v>
      </c>
      <c r="M645" s="30">
        <f t="shared" si="485"/>
        <v>2.046175374490045E-14</v>
      </c>
      <c r="N645" s="30">
        <f t="shared" si="485"/>
        <v>2.046175374490045E-14</v>
      </c>
      <c r="O645" s="30">
        <f t="shared" si="485"/>
        <v>2.046175374490045E-14</v>
      </c>
      <c r="P645" s="30">
        <f t="shared" si="485"/>
        <v>2.046175374490045E-14</v>
      </c>
      <c r="Q645" s="30">
        <f t="shared" si="485"/>
        <v>2.046175374490045E-14</v>
      </c>
      <c r="R645" s="30">
        <f t="shared" si="485"/>
        <v>5.0172668379191271E-14</v>
      </c>
      <c r="S645" s="30">
        <f t="shared" si="485"/>
        <v>5.0172668379191271E-14</v>
      </c>
      <c r="T645" s="30">
        <f t="shared" si="485"/>
        <v>5.0172668379191271E-14</v>
      </c>
      <c r="U645" s="30">
        <f t="shared" si="485"/>
        <v>5.0172668379191271E-14</v>
      </c>
      <c r="V645" s="30">
        <f t="shared" si="485"/>
        <v>5.0172668379191271E-14</v>
      </c>
      <c r="W645" s="30">
        <f t="shared" si="485"/>
        <v>5.0172668379191271E-14</v>
      </c>
      <c r="X645" s="30">
        <f t="shared" si="485"/>
        <v>5.0172668379191271E-14</v>
      </c>
      <c r="Y645" s="30">
        <f t="shared" si="485"/>
        <v>5.0172668379191271E-14</v>
      </c>
      <c r="Z645" s="30">
        <f t="shared" si="485"/>
        <v>5.0172668379191271E-14</v>
      </c>
      <c r="AA645" s="30">
        <f t="shared" si="485"/>
        <v>-1.1579885768903975E-12</v>
      </c>
      <c r="AB645" s="30">
        <f t="shared" si="485"/>
        <v>-1.1579885768903975E-12</v>
      </c>
      <c r="AC645" s="30">
        <f t="shared" si="485"/>
        <v>-1.1579885768903975E-12</v>
      </c>
      <c r="AD645" s="30">
        <f t="shared" si="485"/>
        <v>-1.1579885768903975E-12</v>
      </c>
      <c r="AE645" s="30">
        <f t="shared" si="485"/>
        <v>-1.1579885768903975E-12</v>
      </c>
      <c r="AF645" s="30">
        <f t="shared" si="485"/>
        <v>-1.1579885768903975E-12</v>
      </c>
      <c r="AG645" s="30"/>
    </row>
    <row r="646" spans="1:33" s="85" customFormat="1" x14ac:dyDescent="0.2">
      <c r="A646" s="5" t="s">
        <v>174</v>
      </c>
      <c r="B646" s="223"/>
      <c r="C646" s="515">
        <f>C645*C627*C635</f>
        <v>4.5883583198672417E-37</v>
      </c>
      <c r="D646" s="515">
        <f t="shared" ref="D646:AF646" si="486">D645*D627*D635</f>
        <v>3.5032239033768171E-37</v>
      </c>
      <c r="E646" s="515">
        <f t="shared" si="486"/>
        <v>3.0516972669415824E-37</v>
      </c>
      <c r="F646" s="515">
        <f t="shared" si="486"/>
        <v>3.9858903078420668E-37</v>
      </c>
      <c r="G646" s="515">
        <f t="shared" si="486"/>
        <v>7.0860272139414548E-37</v>
      </c>
      <c r="H646" s="515">
        <f t="shared" si="486"/>
        <v>4.4996964803373341E-37</v>
      </c>
      <c r="I646" s="515">
        <f t="shared" si="486"/>
        <v>2.5642733979161912E-37</v>
      </c>
      <c r="J646" s="515">
        <f t="shared" si="486"/>
        <v>3.1987461715277702E-37</v>
      </c>
      <c r="K646" s="515">
        <f t="shared" si="486"/>
        <v>-1.3653554861717791E-38</v>
      </c>
      <c r="L646" s="515">
        <f t="shared" si="486"/>
        <v>-7.2217149681813087E-39</v>
      </c>
      <c r="M646" s="515">
        <f t="shared" si="486"/>
        <v>-5.0150798390147989E-39</v>
      </c>
      <c r="N646" s="515">
        <f t="shared" si="486"/>
        <v>-1.0726785611917749E-38</v>
      </c>
      <c r="O646" s="515">
        <f t="shared" si="486"/>
        <v>-2.201149885592589E-39</v>
      </c>
      <c r="P646" s="515">
        <f t="shared" si="486"/>
        <v>-4.8904864492642754E-39</v>
      </c>
      <c r="Q646" s="515">
        <f t="shared" si="486"/>
        <v>-7.0720461792357125E-39</v>
      </c>
      <c r="R646" s="515">
        <f t="shared" si="486"/>
        <v>-5.3972677337227468E-39</v>
      </c>
      <c r="S646" s="515">
        <f t="shared" si="486"/>
        <v>-5.8122943732685311E-39</v>
      </c>
      <c r="T646" s="515">
        <f t="shared" si="486"/>
        <v>-1.1991579895394682E-38</v>
      </c>
      <c r="U646" s="515">
        <f t="shared" si="486"/>
        <v>-9.9606393490988674E-39</v>
      </c>
      <c r="V646" s="515">
        <f t="shared" si="486"/>
        <v>-9.6858763423625387E-39</v>
      </c>
      <c r="W646" s="515">
        <f t="shared" si="486"/>
        <v>-2.0782074691329731E-38</v>
      </c>
      <c r="X646" s="515">
        <f t="shared" si="486"/>
        <v>-4.8035490688169686E-39</v>
      </c>
      <c r="Y646" s="515">
        <f t="shared" si="486"/>
        <v>-3.2299063938725303E-39</v>
      </c>
      <c r="Z646" s="515">
        <f t="shared" si="486"/>
        <v>-1.355753689182901E-38</v>
      </c>
      <c r="AA646" s="515">
        <f t="shared" si="486"/>
        <v>7.3091955514899008E-37</v>
      </c>
      <c r="AB646" s="515">
        <f t="shared" si="486"/>
        <v>8.1175320299357378E-37</v>
      </c>
      <c r="AC646" s="515">
        <f t="shared" si="486"/>
        <v>8.1175320299357378E-37</v>
      </c>
      <c r="AD646" s="515">
        <f t="shared" si="486"/>
        <v>7.8822537825978382E-37</v>
      </c>
      <c r="AE646" s="515">
        <f t="shared" si="486"/>
        <v>3.5032239033768171E-37</v>
      </c>
      <c r="AF646" s="515">
        <f t="shared" si="486"/>
        <v>1.0525241594145458E-36</v>
      </c>
      <c r="AG646" s="87"/>
    </row>
    <row r="647" spans="1:33" x14ac:dyDescent="0.2">
      <c r="A647" s="41" t="s">
        <v>337</v>
      </c>
      <c r="B647" s="44"/>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c r="AA647" s="28"/>
      <c r="AB647" s="28"/>
      <c r="AC647" s="28"/>
      <c r="AD647" s="28"/>
      <c r="AE647" s="28"/>
      <c r="AF647" s="28"/>
      <c r="AG647" s="40"/>
    </row>
    <row r="648" spans="1:33" x14ac:dyDescent="0.2">
      <c r="A648" s="198" t="s">
        <v>444</v>
      </c>
      <c r="B648" s="212"/>
      <c r="C648" s="79">
        <f>1/(EXP(C38*1000000*C243)-1)</f>
        <v>244.71937798942952</v>
      </c>
      <c r="D648" s="79">
        <f t="shared" ref="D648:AF648" si="487">1/(EXP(D38*1000000*D243)-1)</f>
        <v>226.1896935631591</v>
      </c>
      <c r="E648" s="79">
        <f t="shared" si="487"/>
        <v>225.45510745176929</v>
      </c>
      <c r="F648" s="79">
        <f t="shared" si="487"/>
        <v>261.12687771763945</v>
      </c>
      <c r="G648" s="79">
        <f t="shared" si="487"/>
        <v>218.63196476189475</v>
      </c>
      <c r="H648" s="79">
        <f t="shared" si="487"/>
        <v>212.26843064365764</v>
      </c>
      <c r="I648" s="79">
        <f t="shared" si="487"/>
        <v>232.81791912162225</v>
      </c>
      <c r="J648" s="79">
        <f t="shared" si="487"/>
        <v>225.84114574155632</v>
      </c>
      <c r="K648" s="79">
        <f t="shared" si="487"/>
        <v>453.62671430659924</v>
      </c>
      <c r="L648" s="79">
        <f t="shared" si="487"/>
        <v>453.70818230073718</v>
      </c>
      <c r="M648" s="79">
        <f t="shared" si="487"/>
        <v>453.73674185127794</v>
      </c>
      <c r="N648" s="79">
        <f t="shared" si="487"/>
        <v>453.74122321542575</v>
      </c>
      <c r="O648" s="79">
        <f t="shared" si="487"/>
        <v>453.95377539035371</v>
      </c>
      <c r="P648" s="79">
        <f t="shared" si="487"/>
        <v>453.85603434827652</v>
      </c>
      <c r="Q648" s="79">
        <f t="shared" si="487"/>
        <v>454.48645275233059</v>
      </c>
      <c r="R648" s="79">
        <f t="shared" si="487"/>
        <v>710.94177256963133</v>
      </c>
      <c r="S648" s="79">
        <f t="shared" si="487"/>
        <v>710.98650789367457</v>
      </c>
      <c r="T648" s="79">
        <f t="shared" si="487"/>
        <v>714.63693472204056</v>
      </c>
      <c r="U648" s="79">
        <f t="shared" si="487"/>
        <v>714.74317648603801</v>
      </c>
      <c r="V648" s="79">
        <f t="shared" si="487"/>
        <v>717.33345118748537</v>
      </c>
      <c r="W648" s="79">
        <f t="shared" si="487"/>
        <v>717.34975185418011</v>
      </c>
      <c r="X648" s="79">
        <f t="shared" si="487"/>
        <v>708.87755608072791</v>
      </c>
      <c r="Y648" s="79">
        <f t="shared" si="487"/>
        <v>712.37262897864503</v>
      </c>
      <c r="Z648" s="79">
        <f t="shared" si="487"/>
        <v>714.18612807930731</v>
      </c>
      <c r="AA648" s="79">
        <f t="shared" si="487"/>
        <v>7.3675384235286892</v>
      </c>
      <c r="AB648" s="79">
        <f t="shared" si="487"/>
        <v>7.3504935638310238</v>
      </c>
      <c r="AC648" s="79">
        <f t="shared" si="487"/>
        <v>7.3536408878117774</v>
      </c>
      <c r="AD648" s="79">
        <f t="shared" si="487"/>
        <v>7.3508491168938539</v>
      </c>
      <c r="AE648" s="79">
        <f t="shared" si="487"/>
        <v>7.3648092053405581</v>
      </c>
      <c r="AF648" s="79">
        <f t="shared" si="487"/>
        <v>7.3516366468375152</v>
      </c>
      <c r="AG648" s="211"/>
    </row>
    <row r="649" spans="1:33" x14ac:dyDescent="0.2">
      <c r="A649" s="44" t="s">
        <v>479</v>
      </c>
      <c r="B649" s="64"/>
      <c r="C649" s="28">
        <f t="shared" ref="C649:AF649" si="488">C648*C140</f>
        <v>2.2262631673232944E-14</v>
      </c>
      <c r="D649" s="28">
        <f t="shared" si="488"/>
        <v>1.623720382284066E-14</v>
      </c>
      <c r="E649" s="28">
        <f t="shared" si="488"/>
        <v>2.2904852725136295E-14</v>
      </c>
      <c r="F649" s="28">
        <f t="shared" si="488"/>
        <v>8.3891647268493337E-14</v>
      </c>
      <c r="G649" s="28">
        <f t="shared" si="488"/>
        <v>6.3831373952196591E-14</v>
      </c>
      <c r="H649" s="28">
        <f t="shared" si="488"/>
        <v>2.9215062782153612E-14</v>
      </c>
      <c r="I649" s="28">
        <f t="shared" si="488"/>
        <v>2.6145765380343284E-14</v>
      </c>
      <c r="J649" s="28">
        <f t="shared" si="488"/>
        <v>2.4433952302137003E-14</v>
      </c>
      <c r="K649" s="28">
        <f t="shared" si="488"/>
        <v>9.0734151929125454E-15</v>
      </c>
      <c r="L649" s="28">
        <f t="shared" si="488"/>
        <v>9.1693480851713218E-15</v>
      </c>
      <c r="M649" s="28">
        <f t="shared" si="488"/>
        <v>8.2537150917199073E-15</v>
      </c>
      <c r="N649" s="28">
        <f t="shared" si="488"/>
        <v>1.145630089206256E-14</v>
      </c>
      <c r="O649" s="28">
        <f t="shared" si="488"/>
        <v>5.550402500188062E-15</v>
      </c>
      <c r="P649" s="28">
        <f t="shared" si="488"/>
        <v>7.1549479289750887E-15</v>
      </c>
      <c r="Q649" s="28">
        <f t="shared" si="488"/>
        <v>4.4708099107212766E-15</v>
      </c>
      <c r="R649" s="28">
        <f t="shared" si="488"/>
        <v>1.2398827328965334E-14</v>
      </c>
      <c r="S649" s="28">
        <f t="shared" si="488"/>
        <v>1.2990666324303156E-14</v>
      </c>
      <c r="T649" s="28">
        <f t="shared" si="488"/>
        <v>1.3306801101916089E-14</v>
      </c>
      <c r="U649" s="28">
        <f t="shared" si="488"/>
        <v>1.2120571314976442E-14</v>
      </c>
      <c r="V649" s="28">
        <f t="shared" si="488"/>
        <v>8.0767903384199234E-15</v>
      </c>
      <c r="W649" s="28">
        <f t="shared" si="488"/>
        <v>1.0260303192727331E-14</v>
      </c>
      <c r="X649" s="28">
        <f t="shared" si="488"/>
        <v>9.9647871206052761E-15</v>
      </c>
      <c r="Y649" s="28">
        <f t="shared" si="488"/>
        <v>1.1883518393700157E-14</v>
      </c>
      <c r="Z649" s="28">
        <f t="shared" si="488"/>
        <v>1.163699104408979E-14</v>
      </c>
      <c r="AA649" s="28">
        <f t="shared" si="488"/>
        <v>2.9315651908081289E-15</v>
      </c>
      <c r="AB649" s="28">
        <f t="shared" si="488"/>
        <v>3.1040903390432587E-15</v>
      </c>
      <c r="AC649" s="28">
        <f t="shared" si="488"/>
        <v>1.6309474341530725E-15</v>
      </c>
      <c r="AD649" s="28">
        <f t="shared" si="488"/>
        <v>4.5780181780449476E-15</v>
      </c>
      <c r="AE649" s="28">
        <f t="shared" si="488"/>
        <v>4.3448289023352644E-15</v>
      </c>
      <c r="AF649" s="28">
        <f t="shared" si="488"/>
        <v>3.7933383228981027E-15</v>
      </c>
      <c r="AG649" s="28"/>
    </row>
    <row r="650" spans="1:33" x14ac:dyDescent="0.2">
      <c r="A650" s="198" t="s">
        <v>130</v>
      </c>
      <c r="B650" s="212"/>
      <c r="C650" s="79">
        <f>-C139/(EXP(C38*1000000*C243)-1)^2*EXP(C38*1000000*C243)*C243</f>
        <v>-1.0301216477973225E-21</v>
      </c>
      <c r="D650" s="79">
        <f t="shared" ref="D650:AF650" si="489">-D139/(EXP(D38*1000000*D243)-1)^2*EXP(D38*1000000*D243)*D243</f>
        <v>-1.6351559282219518E-22</v>
      </c>
      <c r="E650" s="79">
        <f t="shared" si="489"/>
        <v>-3.8539636865613973E-22</v>
      </c>
      <c r="F650" s="79">
        <f t="shared" si="489"/>
        <v>3.5333082082519897E-22</v>
      </c>
      <c r="G650" s="79">
        <f t="shared" si="489"/>
        <v>-8.452331718108646E-22</v>
      </c>
      <c r="H650" s="79">
        <f t="shared" si="489"/>
        <v>-5.8718536817270662E-22</v>
      </c>
      <c r="I650" s="79">
        <f t="shared" si="489"/>
        <v>-5.8686977275989716E-22</v>
      </c>
      <c r="J650" s="79">
        <f t="shared" si="489"/>
        <v>-8.6338529413068443E-22</v>
      </c>
      <c r="K650" s="79">
        <f t="shared" si="489"/>
        <v>-1.4318294845529707E-19</v>
      </c>
      <c r="L650" s="79">
        <f t="shared" si="489"/>
        <v>-1.0034853873376104E-19</v>
      </c>
      <c r="M650" s="79">
        <f t="shared" si="489"/>
        <v>-9.2289635801190323E-20</v>
      </c>
      <c r="N650" s="79">
        <f t="shared" si="489"/>
        <v>-1.5167353884216585E-19</v>
      </c>
      <c r="O650" s="79">
        <f t="shared" si="489"/>
        <v>-3.6445651174095169E-20</v>
      </c>
      <c r="P650" s="79">
        <f t="shared" si="489"/>
        <v>-7.9671665519456976E-20</v>
      </c>
      <c r="Q650" s="79">
        <f t="shared" si="489"/>
        <v>-1.3304796350438802E-20</v>
      </c>
      <c r="R650" s="79">
        <f t="shared" si="489"/>
        <v>-4.7680120737014381E-20</v>
      </c>
      <c r="S650" s="79">
        <f t="shared" si="489"/>
        <v>-5.1993857205187247E-20</v>
      </c>
      <c r="T650" s="79">
        <f t="shared" si="489"/>
        <v>-4.466161363263385E-20</v>
      </c>
      <c r="U650" s="79">
        <f t="shared" si="489"/>
        <v>-3.2527138600538696E-20</v>
      </c>
      <c r="V650" s="79">
        <f t="shared" si="489"/>
        <v>-1.2138200300505901E-20</v>
      </c>
      <c r="W650" s="79">
        <f t="shared" si="489"/>
        <v>-9.2358225082226607E-21</v>
      </c>
      <c r="X650" s="79">
        <f t="shared" si="489"/>
        <v>-3.3739089581119366E-20</v>
      </c>
      <c r="Y650" s="79">
        <f t="shared" si="489"/>
        <v>-2.4847156993061143E-20</v>
      </c>
      <c r="Z650" s="79">
        <f t="shared" si="489"/>
        <v>-1.5343320661664809E-20</v>
      </c>
      <c r="AA650" s="79">
        <f t="shared" si="489"/>
        <v>-1.8897293985195955E-21</v>
      </c>
      <c r="AB650" s="79">
        <f t="shared" si="489"/>
        <v>-1.8891002647447511E-21</v>
      </c>
      <c r="AC650" s="79">
        <f t="shared" si="489"/>
        <v>-1.0195139376180514E-21</v>
      </c>
      <c r="AD650" s="79">
        <f t="shared" si="489"/>
        <v>-2.9768973951931324E-21</v>
      </c>
      <c r="AE650" s="79">
        <f t="shared" si="489"/>
        <v>-2.7806485208478857E-21</v>
      </c>
      <c r="AF650" s="79">
        <f t="shared" si="489"/>
        <v>-2.361356423483636E-21</v>
      </c>
      <c r="AG650" s="211"/>
    </row>
    <row r="651" spans="1:33" x14ac:dyDescent="0.2">
      <c r="A651" s="44" t="s">
        <v>479</v>
      </c>
      <c r="B651" s="64"/>
      <c r="C651" s="28">
        <f t="shared" ref="C651:AF651" si="490">C650*(C39/2)</f>
        <v>-2.0888802258652712E-22</v>
      </c>
      <c r="D651" s="28">
        <f t="shared" si="490"/>
        <v>-4.2399270360678636E-22</v>
      </c>
      <c r="E651" s="28">
        <f t="shared" si="490"/>
        <v>-7.4272576550614875E-22</v>
      </c>
      <c r="F651" s="28">
        <f t="shared" si="490"/>
        <v>1.3168244039247137E-21</v>
      </c>
      <c r="G651" s="28">
        <f t="shared" si="490"/>
        <v>-2.1999456922367642E-21</v>
      </c>
      <c r="H651" s="28">
        <f t="shared" si="490"/>
        <v>-1.6344001240230369E-21</v>
      </c>
      <c r="I651" s="28">
        <f t="shared" si="490"/>
        <v>-7.7922098514966818E-22</v>
      </c>
      <c r="J651" s="28">
        <f t="shared" si="490"/>
        <v>-1.3790529200736704E-21</v>
      </c>
      <c r="K651" s="28">
        <f t="shared" si="490"/>
        <v>-2.0809101312453467E-21</v>
      </c>
      <c r="L651" s="28">
        <f t="shared" si="490"/>
        <v>-1.5510889886121037E-21</v>
      </c>
      <c r="M651" s="28">
        <f t="shared" si="490"/>
        <v>-1.5091220816985758E-21</v>
      </c>
      <c r="N651" s="28">
        <f t="shared" si="490"/>
        <v>-2.2835894717172334E-21</v>
      </c>
      <c r="O651" s="28">
        <f t="shared" si="490"/>
        <v>-6.4694332644329786E-22</v>
      </c>
      <c r="P651" s="28">
        <f t="shared" si="490"/>
        <v>-1.4826699705040165E-21</v>
      </c>
      <c r="Q651" s="28">
        <f t="shared" si="490"/>
        <v>-3.9693474536149359E-22</v>
      </c>
      <c r="R651" s="28">
        <f t="shared" si="490"/>
        <v>-1.1528682648540104E-21</v>
      </c>
      <c r="S651" s="28">
        <f t="shared" si="490"/>
        <v>-1.3988566643149516E-21</v>
      </c>
      <c r="T651" s="28">
        <f t="shared" si="490"/>
        <v>-1.3283852683139839E-21</v>
      </c>
      <c r="U651" s="28">
        <f t="shared" si="490"/>
        <v>-1.5954203220877621E-21</v>
      </c>
      <c r="V651" s="28">
        <f t="shared" si="490"/>
        <v>-7.8082246882929783E-22</v>
      </c>
      <c r="W651" s="28">
        <f t="shared" si="490"/>
        <v>-8.7687960608962105E-22</v>
      </c>
      <c r="X651" s="28">
        <f t="shared" si="490"/>
        <v>-7.7981789519115224E-22</v>
      </c>
      <c r="Y651" s="28">
        <f t="shared" si="490"/>
        <v>-9.8184890315452821E-22</v>
      </c>
      <c r="Z651" s="28">
        <f t="shared" si="490"/>
        <v>-6.7933414519582904E-22</v>
      </c>
      <c r="AA651" s="28">
        <f t="shared" si="490"/>
        <v>-1.1659001635464335E-21</v>
      </c>
      <c r="AB651" s="28">
        <f t="shared" si="490"/>
        <v>-1.3798386080632851E-21</v>
      </c>
      <c r="AC651" s="28">
        <f t="shared" si="490"/>
        <v>-5.8907391481587761E-22</v>
      </c>
      <c r="AD651" s="28">
        <f t="shared" si="490"/>
        <v>-1.7552774225398784E-21</v>
      </c>
      <c r="AE651" s="28">
        <f t="shared" si="490"/>
        <v>-1.8396566843296983E-21</v>
      </c>
      <c r="AF651" s="28">
        <f t="shared" si="490"/>
        <v>-1.4101592402218456E-21</v>
      </c>
      <c r="AG651" s="28"/>
    </row>
    <row r="652" spans="1:33" x14ac:dyDescent="0.2">
      <c r="A652" s="198" t="s">
        <v>338</v>
      </c>
      <c r="B652" s="212"/>
      <c r="C652" s="79">
        <f>-C139/(EXP(C36*1000000*C243)-1)^2*EXP(C36*1000000*C243)*C243</f>
        <v>-1.0027692245714267E-21</v>
      </c>
      <c r="D652" s="79">
        <f t="shared" ref="D652:AF652" si="491">-D139/(EXP(D36*1000000*D243)-1)^2*EXP(D36*1000000*D243)*D243</f>
        <v>-1.1120663235764386E-21</v>
      </c>
      <c r="E652" s="79">
        <f t="shared" si="491"/>
        <v>-4.7191268909485106E-22</v>
      </c>
      <c r="F652" s="79">
        <f t="shared" si="491"/>
        <v>3.3185080289072303E-22</v>
      </c>
      <c r="G652" s="79">
        <f t="shared" si="491"/>
        <v>-2.0027396357366716E-21</v>
      </c>
      <c r="H652" s="79">
        <f t="shared" si="491"/>
        <v>-5.8179942506813073E-22</v>
      </c>
      <c r="I652" s="79">
        <f t="shared" si="491"/>
        <v>-6.5188148154954467E-22</v>
      </c>
      <c r="J652" s="79">
        <f t="shared" si="491"/>
        <v>-6.6022814226114607E-22</v>
      </c>
      <c r="K652" s="79">
        <f t="shared" si="491"/>
        <v>-1.418578150115407E-19</v>
      </c>
      <c r="L652" s="79">
        <f t="shared" si="491"/>
        <v>-9.9385707531407005E-20</v>
      </c>
      <c r="M652" s="79">
        <f t="shared" si="491"/>
        <v>-9.1473806679342559E-20</v>
      </c>
      <c r="N652" s="79">
        <f t="shared" si="491"/>
        <v>-1.5056019052634447E-19</v>
      </c>
      <c r="O652" s="79">
        <f t="shared" si="491"/>
        <v>-3.6217291909540795E-20</v>
      </c>
      <c r="P652" s="79">
        <f t="shared" si="491"/>
        <v>-7.9673387735786691E-20</v>
      </c>
      <c r="Q652" s="79">
        <f t="shared" si="491"/>
        <v>-1.3590059472296515E-20</v>
      </c>
      <c r="R652" s="79">
        <f t="shared" si="491"/>
        <v>-5.0083661677903444E-20</v>
      </c>
      <c r="S652" s="79">
        <f t="shared" si="491"/>
        <v>-5.3833067263897062E-20</v>
      </c>
      <c r="T652" s="79">
        <f t="shared" si="491"/>
        <v>-4.5502148142884578E-20</v>
      </c>
      <c r="U652" s="79">
        <f t="shared" si="491"/>
        <v>-3.2696650664708445E-20</v>
      </c>
      <c r="V652" s="79">
        <f t="shared" si="491"/>
        <v>-1.3325950311692997E-20</v>
      </c>
      <c r="W652" s="79">
        <f t="shared" si="491"/>
        <v>-1.0044399049247179E-20</v>
      </c>
      <c r="X652" s="79">
        <f t="shared" si="491"/>
        <v>-3.3369297527846663E-20</v>
      </c>
      <c r="Y652" s="79">
        <f t="shared" si="491"/>
        <v>-2.4515758749164602E-20</v>
      </c>
      <c r="Z652" s="79">
        <f t="shared" si="491"/>
        <v>-1.5708175700114272E-20</v>
      </c>
      <c r="AA652" s="79">
        <f t="shared" si="491"/>
        <v>-1.8820234132896279E-21</v>
      </c>
      <c r="AB652" s="79">
        <f t="shared" si="491"/>
        <v>-1.8847701257833586E-21</v>
      </c>
      <c r="AC652" s="79">
        <f t="shared" si="491"/>
        <v>-1.0166770378610936E-21</v>
      </c>
      <c r="AD652" s="79">
        <f t="shared" si="491"/>
        <v>-2.9693586362809247E-21</v>
      </c>
      <c r="AE652" s="79">
        <f t="shared" si="491"/>
        <v>-2.7705719603918168E-21</v>
      </c>
      <c r="AF652" s="79">
        <f t="shared" si="491"/>
        <v>-2.3551577074263113E-21</v>
      </c>
      <c r="AG652" s="211"/>
    </row>
    <row r="653" spans="1:33" x14ac:dyDescent="0.2">
      <c r="A653" s="44" t="s">
        <v>479</v>
      </c>
      <c r="B653" s="64"/>
      <c r="C653" s="28">
        <f t="shared" ref="C653:AF653" si="492">C652*(C37/2)</f>
        <v>-1.1314731934079439E-21</v>
      </c>
      <c r="D653" s="28">
        <f t="shared" si="492"/>
        <v>-8.973675017636394E-20</v>
      </c>
      <c r="E653" s="28">
        <f t="shared" si="492"/>
        <v>-8.1463477172358399E-21</v>
      </c>
      <c r="F653" s="28">
        <f t="shared" si="492"/>
        <v>6.6157553753021758E-21</v>
      </c>
      <c r="G653" s="28">
        <f t="shared" si="492"/>
        <v>-3.3738132895973305E-20</v>
      </c>
      <c r="H653" s="28">
        <f t="shared" si="492"/>
        <v>-1.3652811933173128E-20</v>
      </c>
      <c r="I653" s="28">
        <f t="shared" si="492"/>
        <v>-7.0550036491492309E-21</v>
      </c>
      <c r="J653" s="28">
        <f t="shared" si="492"/>
        <v>-7.0380766508979492E-21</v>
      </c>
      <c r="K653" s="28">
        <f t="shared" si="492"/>
        <v>-6.2614989192441445E-21</v>
      </c>
      <c r="L653" s="28">
        <f t="shared" si="492"/>
        <v>-6.6731585694430096E-21</v>
      </c>
      <c r="M653" s="28">
        <f t="shared" si="492"/>
        <v>-6.1786087031204259E-21</v>
      </c>
      <c r="N653" s="28">
        <f t="shared" si="492"/>
        <v>-8.3480165899972512E-21</v>
      </c>
      <c r="O653" s="28">
        <f t="shared" si="492"/>
        <v>-4.4218414135288006E-21</v>
      </c>
      <c r="P653" s="28">
        <f t="shared" si="492"/>
        <v>-5.4251166333343678E-21</v>
      </c>
      <c r="Q653" s="28">
        <f t="shared" si="492"/>
        <v>-3.6310478081416356E-21</v>
      </c>
      <c r="R653" s="28">
        <f t="shared" si="492"/>
        <v>-1.5137636196150793E-20</v>
      </c>
      <c r="S653" s="28">
        <f t="shared" si="492"/>
        <v>-1.7811108400790089E-20</v>
      </c>
      <c r="T653" s="28">
        <f t="shared" si="492"/>
        <v>-1.8021455118108187E-20</v>
      </c>
      <c r="U653" s="28">
        <f t="shared" si="492"/>
        <v>-2.3188424272569343E-20</v>
      </c>
      <c r="V653" s="28">
        <f t="shared" si="492"/>
        <v>-1.5206429571141469E-20</v>
      </c>
      <c r="W653" s="28">
        <f t="shared" si="492"/>
        <v>-2.118416350941597E-20</v>
      </c>
      <c r="X653" s="28">
        <f t="shared" si="492"/>
        <v>-8.9622203057169685E-21</v>
      </c>
      <c r="Y653" s="28">
        <f t="shared" si="492"/>
        <v>-1.2067085790465032E-20</v>
      </c>
      <c r="Z653" s="28">
        <f t="shared" si="492"/>
        <v>-9.4286987474820907E-21</v>
      </c>
      <c r="AA653" s="28">
        <f t="shared" si="492"/>
        <v>-7.9719165766280721E-22</v>
      </c>
      <c r="AB653" s="28">
        <f t="shared" si="492"/>
        <v>-8.6133137857857566E-22</v>
      </c>
      <c r="AC653" s="28">
        <f t="shared" si="492"/>
        <v>-4.1994245853760696E-22</v>
      </c>
      <c r="AD653" s="28">
        <f t="shared" si="492"/>
        <v>-1.2354649937349903E-21</v>
      </c>
      <c r="AE653" s="28">
        <f t="shared" si="492"/>
        <v>-1.2084962682804603E-21</v>
      </c>
      <c r="AF653" s="28">
        <f t="shared" si="492"/>
        <v>-9.8265065968004695E-22</v>
      </c>
      <c r="AG653" s="28"/>
    </row>
    <row r="654" spans="1:33" x14ac:dyDescent="0.2">
      <c r="A654" s="41" t="s">
        <v>599</v>
      </c>
      <c r="B654" s="44"/>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c r="AA654" s="28"/>
      <c r="AB654" s="28"/>
      <c r="AC654" s="28"/>
      <c r="AD654" s="28"/>
      <c r="AE654" s="28"/>
      <c r="AF654" s="28"/>
      <c r="AG654" s="40"/>
    </row>
    <row r="655" spans="1:33" x14ac:dyDescent="0.2">
      <c r="A655" s="198" t="s">
        <v>29</v>
      </c>
      <c r="B655" s="212"/>
      <c r="C655" s="79">
        <f>1</f>
        <v>1</v>
      </c>
      <c r="D655" s="79">
        <f>1</f>
        <v>1</v>
      </c>
      <c r="E655" s="79">
        <f>1</f>
        <v>1</v>
      </c>
      <c r="F655" s="79">
        <f>1</f>
        <v>1</v>
      </c>
      <c r="G655" s="79">
        <f>1</f>
        <v>1</v>
      </c>
      <c r="H655" s="79">
        <f>1</f>
        <v>1</v>
      </c>
      <c r="I655" s="79">
        <f>1</f>
        <v>1</v>
      </c>
      <c r="J655" s="79">
        <f>1</f>
        <v>1</v>
      </c>
      <c r="K655" s="79">
        <f>1</f>
        <v>1</v>
      </c>
      <c r="L655" s="79">
        <f>1</f>
        <v>1</v>
      </c>
      <c r="M655" s="79">
        <f>1</f>
        <v>1</v>
      </c>
      <c r="N655" s="79">
        <f>1</f>
        <v>1</v>
      </c>
      <c r="O655" s="79">
        <f>1</f>
        <v>1</v>
      </c>
      <c r="P655" s="79">
        <f>1</f>
        <v>1</v>
      </c>
      <c r="Q655" s="79">
        <f>1</f>
        <v>1</v>
      </c>
      <c r="R655" s="79">
        <f>1</f>
        <v>1</v>
      </c>
      <c r="S655" s="79">
        <f>1</f>
        <v>1</v>
      </c>
      <c r="T655" s="79">
        <f>1</f>
        <v>1</v>
      </c>
      <c r="U655" s="79">
        <f>1</f>
        <v>1</v>
      </c>
      <c r="V655" s="79">
        <f>1</f>
        <v>1</v>
      </c>
      <c r="W655" s="79">
        <f>1</f>
        <v>1</v>
      </c>
      <c r="X655" s="79">
        <f>1</f>
        <v>1</v>
      </c>
      <c r="Y655" s="79">
        <f>1</f>
        <v>1</v>
      </c>
      <c r="Z655" s="79">
        <f>1</f>
        <v>1</v>
      </c>
      <c r="AA655" s="79">
        <f>1</f>
        <v>1</v>
      </c>
      <c r="AB655" s="79">
        <f>1</f>
        <v>1</v>
      </c>
      <c r="AC655" s="79">
        <f>1</f>
        <v>1</v>
      </c>
      <c r="AD655" s="79">
        <f>1</f>
        <v>1</v>
      </c>
      <c r="AE655" s="79">
        <f>1</f>
        <v>1</v>
      </c>
      <c r="AF655" s="79">
        <f>1</f>
        <v>1</v>
      </c>
      <c r="AG655" s="211"/>
    </row>
    <row r="656" spans="1:33" x14ac:dyDescent="0.2">
      <c r="A656" s="44" t="s">
        <v>479</v>
      </c>
      <c r="B656" s="64"/>
      <c r="C656" s="28">
        <f>C655*((C72*C71)/200)</f>
        <v>3.1861027468751563E-5</v>
      </c>
      <c r="D656" s="28">
        <f t="shared" ref="D656:AF656" si="493">D655*((D72*D71)/200)</f>
        <v>4.0783816471808292E-4</v>
      </c>
      <c r="E656" s="28">
        <f t="shared" si="493"/>
        <v>3.0313009412499228E-4</v>
      </c>
      <c r="F656" s="28">
        <f t="shared" si="493"/>
        <v>5.8510370858629306E-4</v>
      </c>
      <c r="G656" s="28">
        <f t="shared" si="493"/>
        <v>4.095729392012081E-4</v>
      </c>
      <c r="H656" s="28">
        <f t="shared" si="493"/>
        <v>4.3819239994913751E-4</v>
      </c>
      <c r="I656" s="28">
        <f t="shared" si="493"/>
        <v>2.087550094259222E-4</v>
      </c>
      <c r="J656" s="28">
        <f t="shared" si="493"/>
        <v>2.5123155662789886E-4</v>
      </c>
      <c r="K656" s="28">
        <f t="shared" si="493"/>
        <v>2.2700859535676394E-6</v>
      </c>
      <c r="L656" s="28">
        <f t="shared" si="493"/>
        <v>2.4143787624986432E-6</v>
      </c>
      <c r="M656" s="28">
        <f t="shared" si="493"/>
        <v>2.5541770212002136E-6</v>
      </c>
      <c r="N656" s="28">
        <f t="shared" si="493"/>
        <v>2.3517314897512209E-6</v>
      </c>
      <c r="O656" s="28">
        <f t="shared" si="493"/>
        <v>2.7726729353794728E-6</v>
      </c>
      <c r="P656" s="28">
        <f t="shared" si="493"/>
        <v>2.9068281694076722E-6</v>
      </c>
      <c r="Q656" s="28">
        <f t="shared" si="493"/>
        <v>4.6599954958936008E-6</v>
      </c>
      <c r="R656" s="28">
        <f t="shared" si="493"/>
        <v>3.7673686606165781E-6</v>
      </c>
      <c r="S656" s="28">
        <f t="shared" si="493"/>
        <v>4.1919572158390414E-6</v>
      </c>
      <c r="T656" s="28">
        <f t="shared" si="493"/>
        <v>4.6342081163517989E-6</v>
      </c>
      <c r="U656" s="28">
        <f t="shared" si="493"/>
        <v>7.6421378907930719E-6</v>
      </c>
      <c r="V656" s="28">
        <f t="shared" si="493"/>
        <v>1.00225156381487E-5</v>
      </c>
      <c r="W656" s="28">
        <f t="shared" si="493"/>
        <v>1.4792551458827399E-5</v>
      </c>
      <c r="X656" s="28">
        <f t="shared" si="493"/>
        <v>3.6013156638226891E-6</v>
      </c>
      <c r="Y656" s="28">
        <f t="shared" si="493"/>
        <v>6.1568687605004352E-6</v>
      </c>
      <c r="Z656" s="28">
        <f t="shared" si="493"/>
        <v>6.8984445303493099E-6</v>
      </c>
      <c r="AA656" s="28">
        <f t="shared" si="493"/>
        <v>1.4264424141566335E-4</v>
      </c>
      <c r="AB656" s="28">
        <f t="shared" si="493"/>
        <v>1.6902194417459484E-4</v>
      </c>
      <c r="AC656" s="28">
        <f t="shared" si="493"/>
        <v>1.3368314069848842E-4</v>
      </c>
      <c r="AD656" s="28">
        <f t="shared" si="493"/>
        <v>1.3644066346990121E-4</v>
      </c>
      <c r="AE656" s="28">
        <f t="shared" si="493"/>
        <v>1.5298311171265224E-4</v>
      </c>
      <c r="AF656" s="28">
        <f t="shared" si="493"/>
        <v>1.3818187053744356E-4</v>
      </c>
      <c r="AG656" s="28"/>
    </row>
    <row r="657" spans="1:33" x14ac:dyDescent="0.2">
      <c r="A657" s="198" t="s">
        <v>30</v>
      </c>
      <c r="B657" s="212"/>
      <c r="C657" s="79">
        <f>-(C242/C244)*(1/C672)*C674</f>
        <v>-5.6235272793184708E-6</v>
      </c>
      <c r="D657" s="79">
        <f t="shared" ref="D657:AF657" si="494">-(D242/D244)*(1/D672)*D674</f>
        <v>-5.6235272793184708E-6</v>
      </c>
      <c r="E657" s="79">
        <f t="shared" si="494"/>
        <v>-5.6235272793184708E-6</v>
      </c>
      <c r="F657" s="79">
        <f t="shared" si="494"/>
        <v>-5.6235272793184708E-6</v>
      </c>
      <c r="G657" s="79">
        <f t="shared" si="494"/>
        <v>-5.6235272793184708E-6</v>
      </c>
      <c r="H657" s="79">
        <f t="shared" si="494"/>
        <v>-5.6235272793184708E-6</v>
      </c>
      <c r="I657" s="79">
        <f t="shared" si="494"/>
        <v>-5.6235272793184708E-6</v>
      </c>
      <c r="J657" s="79">
        <f t="shared" si="494"/>
        <v>-5.6235272793184708E-6</v>
      </c>
      <c r="K657" s="79">
        <f t="shared" si="494"/>
        <v>-5.6235272793184708E-6</v>
      </c>
      <c r="L657" s="79">
        <f t="shared" si="494"/>
        <v>-5.6235272793184708E-6</v>
      </c>
      <c r="M657" s="79">
        <f t="shared" si="494"/>
        <v>-5.6235272793184708E-6</v>
      </c>
      <c r="N657" s="79">
        <f t="shared" si="494"/>
        <v>-5.6235272793184708E-6</v>
      </c>
      <c r="O657" s="79">
        <f t="shared" si="494"/>
        <v>-5.6235272793184708E-6</v>
      </c>
      <c r="P657" s="79">
        <f t="shared" si="494"/>
        <v>-5.6235272793184708E-6</v>
      </c>
      <c r="Q657" s="79">
        <f t="shared" si="494"/>
        <v>-5.6235272793184708E-6</v>
      </c>
      <c r="R657" s="79">
        <f t="shared" si="494"/>
        <v>-5.6235272793184708E-6</v>
      </c>
      <c r="S657" s="79">
        <f t="shared" si="494"/>
        <v>-5.6235272793184708E-6</v>
      </c>
      <c r="T657" s="79">
        <f t="shared" si="494"/>
        <v>-5.6235272793184708E-6</v>
      </c>
      <c r="U657" s="79">
        <f t="shared" si="494"/>
        <v>-5.6235272793184708E-6</v>
      </c>
      <c r="V657" s="79">
        <f t="shared" si="494"/>
        <v>-5.6235272793184708E-6</v>
      </c>
      <c r="W657" s="79">
        <f t="shared" si="494"/>
        <v>-5.6235272793184708E-6</v>
      </c>
      <c r="X657" s="79">
        <f t="shared" si="494"/>
        <v>-5.6235272793184708E-6</v>
      </c>
      <c r="Y657" s="79">
        <f t="shared" si="494"/>
        <v>-5.6235272793184708E-6</v>
      </c>
      <c r="Z657" s="79">
        <f t="shared" si="494"/>
        <v>-5.6235272793184708E-6</v>
      </c>
      <c r="AA657" s="79">
        <f t="shared" si="494"/>
        <v>-5.6235272793184708E-6</v>
      </c>
      <c r="AB657" s="79">
        <f t="shared" si="494"/>
        <v>-5.6235272793184708E-6</v>
      </c>
      <c r="AC657" s="79">
        <f t="shared" si="494"/>
        <v>-5.6235272793184708E-6</v>
      </c>
      <c r="AD657" s="79">
        <f t="shared" si="494"/>
        <v>-5.6235272793184708E-6</v>
      </c>
      <c r="AE657" s="79">
        <f t="shared" si="494"/>
        <v>-5.6235272793184708E-6</v>
      </c>
      <c r="AF657" s="79">
        <f t="shared" si="494"/>
        <v>-5.6235272793184708E-6</v>
      </c>
      <c r="AG657" s="211"/>
    </row>
    <row r="658" spans="1:33" x14ac:dyDescent="0.2">
      <c r="A658" s="44" t="s">
        <v>479</v>
      </c>
      <c r="B658" s="64"/>
      <c r="C658" s="28">
        <f t="shared" ref="C658:AF658" si="495">C657*C715</f>
        <v>-9.3772177656858878E-8</v>
      </c>
      <c r="D658" s="28">
        <f t="shared" si="495"/>
        <v>-1.2009788067201468E-6</v>
      </c>
      <c r="E658" s="28">
        <f t="shared" si="495"/>
        <v>-8.4598501958505455E-7</v>
      </c>
      <c r="F658" s="28">
        <f t="shared" si="495"/>
        <v>1.8618482949421181E-6</v>
      </c>
      <c r="G658" s="28">
        <f t="shared" si="495"/>
        <v>-1.0969183215606273E-6</v>
      </c>
      <c r="H658" s="28">
        <f t="shared" si="495"/>
        <v>-1.140947795139579E-6</v>
      </c>
      <c r="I658" s="28">
        <f t="shared" si="495"/>
        <v>-6.0231217369200733E-7</v>
      </c>
      <c r="J658" s="28">
        <f t="shared" si="495"/>
        <v>-6.9328742666840917E-7</v>
      </c>
      <c r="K658" s="28">
        <f t="shared" si="495"/>
        <v>-4.8450993900501529E-9</v>
      </c>
      <c r="L658" s="28">
        <f t="shared" si="495"/>
        <v>-6.8877881235227531E-9</v>
      </c>
      <c r="M658" s="28">
        <f t="shared" si="495"/>
        <v>-6.7108560153047994E-9</v>
      </c>
      <c r="N658" s="28">
        <f t="shared" si="495"/>
        <v>-5.9691712064010532E-9</v>
      </c>
      <c r="O658" s="28">
        <f t="shared" si="495"/>
        <v>-1.108628171849168E-8</v>
      </c>
      <c r="P658" s="28">
        <f t="shared" si="495"/>
        <v>-6.9435476562498406E-9</v>
      </c>
      <c r="Q658" s="28">
        <f t="shared" si="495"/>
        <v>-2.2234442645185619E-8</v>
      </c>
      <c r="R658" s="28">
        <f t="shared" si="495"/>
        <v>-3.9871409445739966E-8</v>
      </c>
      <c r="S658" s="28">
        <f t="shared" si="495"/>
        <v>-4.331612064127815E-8</v>
      </c>
      <c r="T658" s="28">
        <f t="shared" si="495"/>
        <v>-4.9766623737409705E-8</v>
      </c>
      <c r="U658" s="28">
        <f t="shared" si="495"/>
        <v>-8.0461187711191254E-8</v>
      </c>
      <c r="V658" s="28">
        <f t="shared" si="495"/>
        <v>-1.0332672007093501E-7</v>
      </c>
      <c r="W658" s="28">
        <f t="shared" si="495"/>
        <v>-1.520098788769965E-7</v>
      </c>
      <c r="X658" s="28">
        <f t="shared" si="495"/>
        <v>-3.5118561078360574E-8</v>
      </c>
      <c r="Y658" s="28">
        <f t="shared" si="495"/>
        <v>-6.3506551467570551E-8</v>
      </c>
      <c r="Z658" s="28">
        <f t="shared" si="495"/>
        <v>-6.9918299334540444E-8</v>
      </c>
      <c r="AA658" s="28">
        <f t="shared" si="495"/>
        <v>-1.532011591615917E-9</v>
      </c>
      <c r="AB658" s="28">
        <f t="shared" si="495"/>
        <v>-1.319183878918514E-9</v>
      </c>
      <c r="AC658" s="28">
        <f t="shared" si="495"/>
        <v>-1.485215856494565E-9</v>
      </c>
      <c r="AD658" s="28">
        <f t="shared" si="495"/>
        <v>-1.7028426763878481E-9</v>
      </c>
      <c r="AE658" s="28">
        <f t="shared" si="495"/>
        <v>-1.8005651733693425E-9</v>
      </c>
      <c r="AF658" s="28">
        <f t="shared" si="495"/>
        <v>-1.5356579210410057E-9</v>
      </c>
      <c r="AG658" s="28"/>
    </row>
    <row r="659" spans="1:33" x14ac:dyDescent="0.2">
      <c r="A659" s="198" t="s">
        <v>31</v>
      </c>
      <c r="B659" s="212"/>
      <c r="C659" s="79">
        <f t="shared" ref="C659:AF659" si="496">(C242/C244)*(C714/(C672^2))*C674</f>
        <v>1.1884595440933359E-7</v>
      </c>
      <c r="D659" s="79">
        <f t="shared" si="496"/>
        <v>3.5831648413729832E-7</v>
      </c>
      <c r="E659" s="79">
        <f t="shared" si="496"/>
        <v>4.2309139853037709E-7</v>
      </c>
      <c r="F659" s="79">
        <f t="shared" si="496"/>
        <v>-2.0132735983371104E-7</v>
      </c>
      <c r="G659" s="79">
        <f t="shared" si="496"/>
        <v>4.4515124550076948E-7</v>
      </c>
      <c r="H659" s="79">
        <f t="shared" si="496"/>
        <v>7.2377355901462547E-7</v>
      </c>
      <c r="I659" s="79">
        <f t="shared" si="496"/>
        <v>3.8917433178043273E-7</v>
      </c>
      <c r="J659" s="79">
        <f t="shared" si="496"/>
        <v>7.2689217172905339E-7</v>
      </c>
      <c r="K659" s="79">
        <f t="shared" si="496"/>
        <v>1.1283245587949629E-6</v>
      </c>
      <c r="L659" s="79">
        <f t="shared" si="496"/>
        <v>1.1136573606899314E-6</v>
      </c>
      <c r="M659" s="79">
        <f t="shared" si="496"/>
        <v>1.1085815633223162E-6</v>
      </c>
      <c r="N659" s="79">
        <f t="shared" si="496"/>
        <v>1.1668881478357192E-6</v>
      </c>
      <c r="O659" s="79">
        <f t="shared" si="496"/>
        <v>1.0754978587646446E-6</v>
      </c>
      <c r="P659" s="79">
        <f t="shared" si="496"/>
        <v>1.1351250838523661E-6</v>
      </c>
      <c r="Q659" s="79">
        <f t="shared" si="496"/>
        <v>9.766773258121207E-7</v>
      </c>
      <c r="R659" s="79">
        <f t="shared" si="496"/>
        <v>1.4464561099648897E-6</v>
      </c>
      <c r="S659" s="79">
        <f t="shared" si="496"/>
        <v>1.6354281020808748E-6</v>
      </c>
      <c r="T659" s="79">
        <f t="shared" si="496"/>
        <v>1.5676208609250713E-6</v>
      </c>
      <c r="U659" s="79">
        <f t="shared" si="496"/>
        <v>2.0261371621008209E-6</v>
      </c>
      <c r="V659" s="79">
        <f t="shared" si="496"/>
        <v>1.4519002532252836E-6</v>
      </c>
      <c r="W659" s="79">
        <f t="shared" si="496"/>
        <v>1.2793768640528402E-6</v>
      </c>
      <c r="X659" s="79">
        <f t="shared" si="496"/>
        <v>1.1250375080273036E-6</v>
      </c>
      <c r="Y659" s="79">
        <f t="shared" si="496"/>
        <v>1.2502241506174617E-6</v>
      </c>
      <c r="Z659" s="79">
        <f t="shared" si="496"/>
        <v>8.6577446863959454E-7</v>
      </c>
      <c r="AA659" s="79">
        <f t="shared" si="496"/>
        <v>7.7237046865871257E-7</v>
      </c>
      <c r="AB659" s="79">
        <f t="shared" si="496"/>
        <v>6.3016692987284682E-7</v>
      </c>
      <c r="AC659" s="79">
        <f t="shared" si="496"/>
        <v>7.2764835790052393E-7</v>
      </c>
      <c r="AD659" s="79">
        <f t="shared" si="496"/>
        <v>8.6721015204654448E-7</v>
      </c>
      <c r="AE659" s="79">
        <f t="shared" si="496"/>
        <v>8.9692907166163823E-7</v>
      </c>
      <c r="AF659" s="79">
        <f t="shared" si="496"/>
        <v>7.4973393029076962E-7</v>
      </c>
      <c r="AG659" s="211"/>
    </row>
    <row r="660" spans="1:33" x14ac:dyDescent="0.2">
      <c r="A660" s="44" t="s">
        <v>479</v>
      </c>
      <c r="B660" s="64"/>
      <c r="C660" s="28">
        <f t="shared" ref="C660:AF660" si="497">C659*C673</f>
        <v>5.9422977204666796E-8</v>
      </c>
      <c r="D660" s="28">
        <f t="shared" si="497"/>
        <v>1.7915824206864916E-7</v>
      </c>
      <c r="E660" s="28">
        <f t="shared" si="497"/>
        <v>2.1154569926518855E-7</v>
      </c>
      <c r="F660" s="28">
        <f t="shared" si="497"/>
        <v>-1.0066367991685552E-7</v>
      </c>
      <c r="G660" s="28">
        <f t="shared" si="497"/>
        <v>2.2257562275038474E-7</v>
      </c>
      <c r="H660" s="28">
        <f t="shared" si="497"/>
        <v>3.6188677950731274E-7</v>
      </c>
      <c r="I660" s="28">
        <f t="shared" si="497"/>
        <v>1.9458716589021636E-7</v>
      </c>
      <c r="J660" s="28">
        <f t="shared" si="497"/>
        <v>3.6344608586452669E-7</v>
      </c>
      <c r="K660" s="28">
        <f t="shared" si="497"/>
        <v>5.6416227939748143E-7</v>
      </c>
      <c r="L660" s="28">
        <f t="shared" si="497"/>
        <v>5.5682868034496568E-7</v>
      </c>
      <c r="M660" s="28">
        <f t="shared" si="497"/>
        <v>5.5429078166115808E-7</v>
      </c>
      <c r="N660" s="28">
        <f t="shared" si="497"/>
        <v>5.8344407391785961E-7</v>
      </c>
      <c r="O660" s="28">
        <f t="shared" si="497"/>
        <v>5.3774892938232228E-7</v>
      </c>
      <c r="P660" s="28">
        <f t="shared" si="497"/>
        <v>5.6756254192618303E-7</v>
      </c>
      <c r="Q660" s="28">
        <f t="shared" si="497"/>
        <v>4.8833866290606035E-7</v>
      </c>
      <c r="R660" s="28">
        <f t="shared" si="497"/>
        <v>7.2322805498244486E-7</v>
      </c>
      <c r="S660" s="28">
        <f t="shared" si="497"/>
        <v>8.1771405104043742E-7</v>
      </c>
      <c r="T660" s="28">
        <f t="shared" si="497"/>
        <v>7.8381043046253563E-7</v>
      </c>
      <c r="U660" s="28">
        <f t="shared" si="497"/>
        <v>1.0130685810504105E-6</v>
      </c>
      <c r="V660" s="28">
        <f t="shared" si="497"/>
        <v>7.2595012661264182E-7</v>
      </c>
      <c r="W660" s="28">
        <f t="shared" si="497"/>
        <v>6.3968843202642008E-7</v>
      </c>
      <c r="X660" s="28">
        <f t="shared" si="497"/>
        <v>5.6251875401365181E-7</v>
      </c>
      <c r="Y660" s="28">
        <f t="shared" si="497"/>
        <v>6.2511207530873083E-7</v>
      </c>
      <c r="Z660" s="28">
        <f t="shared" si="497"/>
        <v>4.3288723431979727E-7</v>
      </c>
      <c r="AA660" s="28">
        <f t="shared" si="497"/>
        <v>3.8618523432935628E-7</v>
      </c>
      <c r="AB660" s="28">
        <f t="shared" si="497"/>
        <v>3.1508346493642341E-7</v>
      </c>
      <c r="AC660" s="28">
        <f t="shared" si="497"/>
        <v>3.6382417895026196E-7</v>
      </c>
      <c r="AD660" s="28">
        <f t="shared" si="497"/>
        <v>4.3360507602327224E-7</v>
      </c>
      <c r="AE660" s="28">
        <f t="shared" si="497"/>
        <v>4.4846453583081912E-7</v>
      </c>
      <c r="AF660" s="28">
        <f t="shared" si="497"/>
        <v>3.7486696514538481E-7</v>
      </c>
      <c r="AG660" s="28"/>
    </row>
    <row r="661" spans="1:33" x14ac:dyDescent="0.2">
      <c r="A661" s="198" t="s">
        <v>598</v>
      </c>
      <c r="B661" s="64"/>
      <c r="C661" s="30">
        <f t="shared" ref="C661:AF661" si="498">-(C242/C244)*(C714/C672)</f>
        <v>-3.565378632280008E-7</v>
      </c>
      <c r="D661" s="30">
        <f t="shared" si="498"/>
        <v>-1.0749494524118951E-6</v>
      </c>
      <c r="E661" s="30">
        <f t="shared" si="498"/>
        <v>-1.2692741955911313E-6</v>
      </c>
      <c r="F661" s="30">
        <f t="shared" si="498"/>
        <v>6.0398207950113313E-7</v>
      </c>
      <c r="G661" s="30">
        <f t="shared" si="498"/>
        <v>-1.3354537365023084E-6</v>
      </c>
      <c r="H661" s="30">
        <f t="shared" si="498"/>
        <v>-2.1713206770438761E-6</v>
      </c>
      <c r="I661" s="30">
        <f t="shared" si="498"/>
        <v>-1.1675229953412981E-6</v>
      </c>
      <c r="J661" s="30">
        <f t="shared" si="498"/>
        <v>-2.1806765151871602E-6</v>
      </c>
      <c r="K661" s="30">
        <f t="shared" si="498"/>
        <v>-3.3849736763848884E-6</v>
      </c>
      <c r="L661" s="30">
        <f t="shared" si="498"/>
        <v>-3.3409720820697947E-6</v>
      </c>
      <c r="M661" s="30">
        <f t="shared" si="498"/>
        <v>-3.3257446899669491E-6</v>
      </c>
      <c r="N661" s="30">
        <f t="shared" si="498"/>
        <v>-3.5006644435071577E-6</v>
      </c>
      <c r="O661" s="30">
        <f t="shared" si="498"/>
        <v>-3.2264935762939339E-6</v>
      </c>
      <c r="P661" s="30">
        <f t="shared" si="498"/>
        <v>-3.4053752515570984E-6</v>
      </c>
      <c r="Q661" s="30">
        <f t="shared" si="498"/>
        <v>-2.9300319774363623E-6</v>
      </c>
      <c r="R661" s="30">
        <f t="shared" si="498"/>
        <v>-4.3393683298946693E-6</v>
      </c>
      <c r="S661" s="30">
        <f t="shared" si="498"/>
        <v>-4.9062843062426254E-6</v>
      </c>
      <c r="T661" s="30">
        <f t="shared" si="498"/>
        <v>-4.7028625827752142E-6</v>
      </c>
      <c r="U661" s="30">
        <f t="shared" si="498"/>
        <v>-6.0784114863024632E-6</v>
      </c>
      <c r="V661" s="30">
        <f t="shared" si="498"/>
        <v>-4.3557007596758505E-6</v>
      </c>
      <c r="W661" s="30">
        <f t="shared" si="498"/>
        <v>-3.8381305921585203E-6</v>
      </c>
      <c r="X661" s="30">
        <f t="shared" si="498"/>
        <v>-3.3751125240819104E-6</v>
      </c>
      <c r="Y661" s="30">
        <f t="shared" si="498"/>
        <v>-3.750672451852385E-6</v>
      </c>
      <c r="Z661" s="30">
        <f t="shared" si="498"/>
        <v>-2.5973234059187836E-6</v>
      </c>
      <c r="AA661" s="30">
        <f t="shared" si="498"/>
        <v>-2.3171114059761377E-6</v>
      </c>
      <c r="AB661" s="30">
        <f t="shared" si="498"/>
        <v>-1.8905007896185402E-6</v>
      </c>
      <c r="AC661" s="30">
        <f t="shared" si="498"/>
        <v>-2.1829450737015714E-6</v>
      </c>
      <c r="AD661" s="30">
        <f t="shared" si="498"/>
        <v>-2.6016304561396335E-6</v>
      </c>
      <c r="AE661" s="30">
        <f t="shared" si="498"/>
        <v>-2.6907872149849144E-6</v>
      </c>
      <c r="AF661" s="30">
        <f t="shared" si="498"/>
        <v>-2.2492017908723092E-6</v>
      </c>
      <c r="AG661" s="28"/>
    </row>
    <row r="662" spans="1:33" x14ac:dyDescent="0.2">
      <c r="A662" s="44" t="s">
        <v>479</v>
      </c>
      <c r="B662" s="64"/>
      <c r="C662" s="216">
        <f>C661*C675</f>
        <v>-1.7826893161400041E-8</v>
      </c>
      <c r="D662" s="216">
        <f t="shared" ref="D662:AF662" si="499">D661*D675</f>
        <v>-5.3747472620594759E-8</v>
      </c>
      <c r="E662" s="216">
        <f t="shared" si="499"/>
        <v>-6.3463709779556564E-8</v>
      </c>
      <c r="F662" s="216">
        <f t="shared" si="499"/>
        <v>3.0199103975056658E-8</v>
      </c>
      <c r="G662" s="216">
        <f t="shared" si="499"/>
        <v>-6.6772686825115425E-8</v>
      </c>
      <c r="H662" s="216">
        <f t="shared" si="499"/>
        <v>-1.0856603385219381E-7</v>
      </c>
      <c r="I662" s="216">
        <f t="shared" si="499"/>
        <v>-5.8376149767064908E-8</v>
      </c>
      <c r="J662" s="216">
        <f t="shared" si="499"/>
        <v>-1.0903382575935802E-7</v>
      </c>
      <c r="K662" s="216">
        <f t="shared" si="499"/>
        <v>-1.6924868381924444E-7</v>
      </c>
      <c r="L662" s="216">
        <f t="shared" si="499"/>
        <v>-1.6704860410348974E-7</v>
      </c>
      <c r="M662" s="216">
        <f t="shared" si="499"/>
        <v>-1.6628723449834745E-7</v>
      </c>
      <c r="N662" s="216">
        <f t="shared" si="499"/>
        <v>-1.7503322217535788E-7</v>
      </c>
      <c r="O662" s="216">
        <f t="shared" si="499"/>
        <v>-1.6132467881469672E-7</v>
      </c>
      <c r="P662" s="216">
        <f t="shared" si="499"/>
        <v>-1.7026876257785494E-7</v>
      </c>
      <c r="Q662" s="216">
        <f t="shared" si="499"/>
        <v>-1.4650159887181813E-7</v>
      </c>
      <c r="R662" s="216">
        <f t="shared" si="499"/>
        <v>-2.1696841649473348E-7</v>
      </c>
      <c r="S662" s="216">
        <f t="shared" si="499"/>
        <v>-2.4531421531213128E-7</v>
      </c>
      <c r="T662" s="216">
        <f t="shared" si="499"/>
        <v>-2.3514312913876072E-7</v>
      </c>
      <c r="U662" s="216">
        <f t="shared" si="499"/>
        <v>-3.039205743151232E-7</v>
      </c>
      <c r="V662" s="216">
        <f t="shared" si="499"/>
        <v>-2.1778503798379255E-7</v>
      </c>
      <c r="W662" s="216">
        <f t="shared" si="499"/>
        <v>-1.9190652960792601E-7</v>
      </c>
      <c r="X662" s="216">
        <f t="shared" si="499"/>
        <v>-1.6875562620409553E-7</v>
      </c>
      <c r="Y662" s="216">
        <f t="shared" si="499"/>
        <v>-1.8753362259261927E-7</v>
      </c>
      <c r="Z662" s="216">
        <f t="shared" si="499"/>
        <v>-1.2986617029593919E-7</v>
      </c>
      <c r="AA662" s="216">
        <f t="shared" si="499"/>
        <v>-1.1585557029880689E-7</v>
      </c>
      <c r="AB662" s="216">
        <f t="shared" si="499"/>
        <v>-9.452503948092702E-8</v>
      </c>
      <c r="AC662" s="216">
        <f t="shared" si="499"/>
        <v>-1.0914725368507858E-7</v>
      </c>
      <c r="AD662" s="216">
        <f t="shared" si="499"/>
        <v>-1.3008152280698168E-7</v>
      </c>
      <c r="AE662" s="216">
        <f t="shared" si="499"/>
        <v>-1.3453936074924571E-7</v>
      </c>
      <c r="AF662" s="216">
        <f t="shared" si="499"/>
        <v>-1.1246008954361547E-7</v>
      </c>
      <c r="AG662" s="28"/>
    </row>
    <row r="663" spans="1:33" x14ac:dyDescent="0.2">
      <c r="A663" s="41" t="s">
        <v>600</v>
      </c>
      <c r="B663" s="44"/>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c r="AA663" s="28"/>
      <c r="AB663" s="28"/>
      <c r="AC663" s="28"/>
      <c r="AD663" s="28"/>
      <c r="AE663" s="28"/>
      <c r="AF663" s="28"/>
      <c r="AG663" s="40"/>
    </row>
    <row r="664" spans="1:33" x14ac:dyDescent="0.2">
      <c r="A664" s="198" t="s">
        <v>29</v>
      </c>
      <c r="B664" s="212"/>
      <c r="C664" s="79">
        <f>1</f>
        <v>1</v>
      </c>
      <c r="D664" s="79">
        <f>1</f>
        <v>1</v>
      </c>
      <c r="E664" s="79">
        <f>1</f>
        <v>1</v>
      </c>
      <c r="F664" s="79">
        <f>1</f>
        <v>1</v>
      </c>
      <c r="G664" s="79">
        <f>1</f>
        <v>1</v>
      </c>
      <c r="H664" s="79">
        <f>1</f>
        <v>1</v>
      </c>
      <c r="I664" s="79">
        <f>1</f>
        <v>1</v>
      </c>
      <c r="J664" s="79">
        <f>1</f>
        <v>1</v>
      </c>
      <c r="K664" s="79">
        <f>1</f>
        <v>1</v>
      </c>
      <c r="L664" s="79">
        <f>1</f>
        <v>1</v>
      </c>
      <c r="M664" s="79">
        <f>1</f>
        <v>1</v>
      </c>
      <c r="N664" s="79">
        <f>1</f>
        <v>1</v>
      </c>
      <c r="O664" s="79">
        <f>1</f>
        <v>1</v>
      </c>
      <c r="P664" s="79">
        <f>1</f>
        <v>1</v>
      </c>
      <c r="Q664" s="79">
        <f>1</f>
        <v>1</v>
      </c>
      <c r="R664" s="79">
        <f>1</f>
        <v>1</v>
      </c>
      <c r="S664" s="79">
        <f>1</f>
        <v>1</v>
      </c>
      <c r="T664" s="79">
        <f>1</f>
        <v>1</v>
      </c>
      <c r="U664" s="79">
        <f>1</f>
        <v>1</v>
      </c>
      <c r="V664" s="79">
        <f>1</f>
        <v>1</v>
      </c>
      <c r="W664" s="79">
        <f>1</f>
        <v>1</v>
      </c>
      <c r="X664" s="79">
        <f>1</f>
        <v>1</v>
      </c>
      <c r="Y664" s="79">
        <f>1</f>
        <v>1</v>
      </c>
      <c r="Z664" s="79">
        <f>1</f>
        <v>1</v>
      </c>
      <c r="AA664" s="79">
        <f>1</f>
        <v>1</v>
      </c>
      <c r="AB664" s="79">
        <f>1</f>
        <v>1</v>
      </c>
      <c r="AC664" s="79">
        <f>1</f>
        <v>1</v>
      </c>
      <c r="AD664" s="79">
        <f>1</f>
        <v>1</v>
      </c>
      <c r="AE664" s="79">
        <f>1</f>
        <v>1</v>
      </c>
      <c r="AF664" s="79">
        <f>1</f>
        <v>1</v>
      </c>
      <c r="AG664" s="211"/>
    </row>
    <row r="665" spans="1:33" x14ac:dyDescent="0.2">
      <c r="A665" s="44" t="s">
        <v>479</v>
      </c>
      <c r="B665" s="64"/>
      <c r="C665" s="28">
        <f>C655*((C72*C71)/200)</f>
        <v>3.1861027468751563E-5</v>
      </c>
      <c r="D665" s="28">
        <f t="shared" ref="D665:AF665" si="500">D655*((D72*D71)/200)</f>
        <v>4.0783816471808292E-4</v>
      </c>
      <c r="E665" s="28">
        <f t="shared" si="500"/>
        <v>3.0313009412499228E-4</v>
      </c>
      <c r="F665" s="28">
        <f t="shared" si="500"/>
        <v>5.8510370858629306E-4</v>
      </c>
      <c r="G665" s="28">
        <f t="shared" si="500"/>
        <v>4.095729392012081E-4</v>
      </c>
      <c r="H665" s="28">
        <f t="shared" si="500"/>
        <v>4.3819239994913751E-4</v>
      </c>
      <c r="I665" s="28">
        <f t="shared" si="500"/>
        <v>2.087550094259222E-4</v>
      </c>
      <c r="J665" s="28">
        <f t="shared" si="500"/>
        <v>2.5123155662789886E-4</v>
      </c>
      <c r="K665" s="28">
        <f t="shared" si="500"/>
        <v>2.2700859535676394E-6</v>
      </c>
      <c r="L665" s="28">
        <f t="shared" si="500"/>
        <v>2.4143787624986432E-6</v>
      </c>
      <c r="M665" s="28">
        <f t="shared" si="500"/>
        <v>2.5541770212002136E-6</v>
      </c>
      <c r="N665" s="28">
        <f t="shared" si="500"/>
        <v>2.3517314897512209E-6</v>
      </c>
      <c r="O665" s="28">
        <f t="shared" si="500"/>
        <v>2.7726729353794728E-6</v>
      </c>
      <c r="P665" s="28">
        <f t="shared" si="500"/>
        <v>2.9068281694076722E-6</v>
      </c>
      <c r="Q665" s="28">
        <f t="shared" si="500"/>
        <v>4.6599954958936008E-6</v>
      </c>
      <c r="R665" s="28">
        <f t="shared" si="500"/>
        <v>3.7673686606165781E-6</v>
      </c>
      <c r="S665" s="28">
        <f t="shared" si="500"/>
        <v>4.1919572158390414E-6</v>
      </c>
      <c r="T665" s="28">
        <f t="shared" si="500"/>
        <v>4.6342081163517989E-6</v>
      </c>
      <c r="U665" s="28">
        <f t="shared" si="500"/>
        <v>7.6421378907930719E-6</v>
      </c>
      <c r="V665" s="28">
        <f t="shared" si="500"/>
        <v>1.00225156381487E-5</v>
      </c>
      <c r="W665" s="28">
        <f t="shared" si="500"/>
        <v>1.4792551458827399E-5</v>
      </c>
      <c r="X665" s="28">
        <f t="shared" si="500"/>
        <v>3.6013156638226891E-6</v>
      </c>
      <c r="Y665" s="28">
        <f t="shared" si="500"/>
        <v>6.1568687605004352E-6</v>
      </c>
      <c r="Z665" s="28">
        <f t="shared" si="500"/>
        <v>6.8984445303493099E-6</v>
      </c>
      <c r="AA665" s="28">
        <f t="shared" si="500"/>
        <v>1.4264424141566335E-4</v>
      </c>
      <c r="AB665" s="28">
        <f t="shared" si="500"/>
        <v>1.6902194417459484E-4</v>
      </c>
      <c r="AC665" s="28">
        <f t="shared" si="500"/>
        <v>1.3368314069848842E-4</v>
      </c>
      <c r="AD665" s="28">
        <f t="shared" si="500"/>
        <v>1.3644066346990121E-4</v>
      </c>
      <c r="AE665" s="28">
        <f t="shared" si="500"/>
        <v>1.5298311171265224E-4</v>
      </c>
      <c r="AF665" s="28">
        <f t="shared" si="500"/>
        <v>1.3818187053744356E-4</v>
      </c>
      <c r="AG665" s="28"/>
    </row>
    <row r="666" spans="1:33" x14ac:dyDescent="0.2">
      <c r="A666" s="198" t="s">
        <v>601</v>
      </c>
      <c r="B666" s="212"/>
      <c r="C666" s="79">
        <f>-(C242/C244)*C674</f>
        <v>-1.6870581837955412E-5</v>
      </c>
      <c r="D666" s="79">
        <f t="shared" ref="D666:AF666" si="501">-(D242/D244)*D674</f>
        <v>-1.6870581837955412E-5</v>
      </c>
      <c r="E666" s="79">
        <f t="shared" si="501"/>
        <v>-1.6870581837955412E-5</v>
      </c>
      <c r="F666" s="79">
        <f t="shared" si="501"/>
        <v>-1.6870581837955412E-5</v>
      </c>
      <c r="G666" s="79">
        <f t="shared" si="501"/>
        <v>-1.6870581837955412E-5</v>
      </c>
      <c r="H666" s="79">
        <f t="shared" si="501"/>
        <v>-1.6870581837955412E-5</v>
      </c>
      <c r="I666" s="79">
        <f t="shared" si="501"/>
        <v>-1.6870581837955412E-5</v>
      </c>
      <c r="J666" s="79">
        <f t="shared" si="501"/>
        <v>-1.6870581837955412E-5</v>
      </c>
      <c r="K666" s="79">
        <f t="shared" si="501"/>
        <v>-1.6870581837955412E-5</v>
      </c>
      <c r="L666" s="79">
        <f t="shared" si="501"/>
        <v>-1.6870581837955412E-5</v>
      </c>
      <c r="M666" s="79">
        <f t="shared" si="501"/>
        <v>-1.6870581837955412E-5</v>
      </c>
      <c r="N666" s="79">
        <f t="shared" si="501"/>
        <v>-1.6870581837955412E-5</v>
      </c>
      <c r="O666" s="79">
        <f t="shared" si="501"/>
        <v>-1.6870581837955412E-5</v>
      </c>
      <c r="P666" s="79">
        <f t="shared" si="501"/>
        <v>-1.6870581837955412E-5</v>
      </c>
      <c r="Q666" s="79">
        <f t="shared" si="501"/>
        <v>-1.6870581837955412E-5</v>
      </c>
      <c r="R666" s="79">
        <f t="shared" si="501"/>
        <v>-1.6870581837955412E-5</v>
      </c>
      <c r="S666" s="79">
        <f t="shared" si="501"/>
        <v>-1.6870581837955412E-5</v>
      </c>
      <c r="T666" s="79">
        <f t="shared" si="501"/>
        <v>-1.6870581837955412E-5</v>
      </c>
      <c r="U666" s="79">
        <f t="shared" si="501"/>
        <v>-1.6870581837955412E-5</v>
      </c>
      <c r="V666" s="79">
        <f t="shared" si="501"/>
        <v>-1.6870581837955412E-5</v>
      </c>
      <c r="W666" s="79">
        <f t="shared" si="501"/>
        <v>-1.6870581837955412E-5</v>
      </c>
      <c r="X666" s="79">
        <f t="shared" si="501"/>
        <v>-1.6870581837955412E-5</v>
      </c>
      <c r="Y666" s="79">
        <f t="shared" si="501"/>
        <v>-1.6870581837955412E-5</v>
      </c>
      <c r="Z666" s="79">
        <f t="shared" si="501"/>
        <v>-1.6870581837955412E-5</v>
      </c>
      <c r="AA666" s="79">
        <f t="shared" si="501"/>
        <v>-1.6870581837955412E-5</v>
      </c>
      <c r="AB666" s="79">
        <f t="shared" si="501"/>
        <v>-1.6870581837955412E-5</v>
      </c>
      <c r="AC666" s="79">
        <f t="shared" si="501"/>
        <v>-1.6870581837955412E-5</v>
      </c>
      <c r="AD666" s="79">
        <f t="shared" si="501"/>
        <v>-1.6870581837955412E-5</v>
      </c>
      <c r="AE666" s="79">
        <f t="shared" si="501"/>
        <v>-1.6870581837955412E-5</v>
      </c>
      <c r="AF666" s="79">
        <f t="shared" si="501"/>
        <v>-1.6870581837955412E-5</v>
      </c>
      <c r="AG666" s="211"/>
    </row>
    <row r="667" spans="1:33" x14ac:dyDescent="0.2">
      <c r="A667" s="44" t="s">
        <v>479</v>
      </c>
      <c r="B667" s="64"/>
      <c r="C667" s="28">
        <f>C666*C677</f>
        <v>-8.4352909189777067E-7</v>
      </c>
      <c r="D667" s="28">
        <f t="shared" ref="D667:AF667" si="502">D666*D677</f>
        <v>-8.4352909189777067E-7</v>
      </c>
      <c r="E667" s="28">
        <f t="shared" si="502"/>
        <v>-8.4352909189777067E-7</v>
      </c>
      <c r="F667" s="28">
        <f t="shared" si="502"/>
        <v>-8.4352909189777067E-7</v>
      </c>
      <c r="G667" s="28">
        <f t="shared" si="502"/>
        <v>-8.4352909189777067E-7</v>
      </c>
      <c r="H667" s="28">
        <f t="shared" si="502"/>
        <v>-8.4352909189777067E-7</v>
      </c>
      <c r="I667" s="28">
        <f t="shared" si="502"/>
        <v>-8.4352909189777067E-7</v>
      </c>
      <c r="J667" s="28">
        <f t="shared" si="502"/>
        <v>-8.4352909189777067E-7</v>
      </c>
      <c r="K667" s="28">
        <f t="shared" si="502"/>
        <v>-8.4352909189777067E-7</v>
      </c>
      <c r="L667" s="28">
        <f t="shared" si="502"/>
        <v>-8.4352909189777067E-7</v>
      </c>
      <c r="M667" s="28">
        <f t="shared" si="502"/>
        <v>-8.4352909189777067E-7</v>
      </c>
      <c r="N667" s="28">
        <f t="shared" si="502"/>
        <v>-8.4352909189777067E-7</v>
      </c>
      <c r="O667" s="28">
        <f t="shared" si="502"/>
        <v>-8.4352909189777067E-7</v>
      </c>
      <c r="P667" s="28">
        <f t="shared" si="502"/>
        <v>-8.4352909189777067E-7</v>
      </c>
      <c r="Q667" s="28">
        <f t="shared" si="502"/>
        <v>-8.4352909189777067E-7</v>
      </c>
      <c r="R667" s="28">
        <f t="shared" si="502"/>
        <v>-8.4352909189777067E-7</v>
      </c>
      <c r="S667" s="28">
        <f t="shared" si="502"/>
        <v>-8.4352909189777067E-7</v>
      </c>
      <c r="T667" s="28">
        <f t="shared" si="502"/>
        <v>-8.4352909189777067E-7</v>
      </c>
      <c r="U667" s="28">
        <f t="shared" si="502"/>
        <v>-8.4352909189777067E-7</v>
      </c>
      <c r="V667" s="28">
        <f t="shared" si="502"/>
        <v>-8.4352909189777067E-7</v>
      </c>
      <c r="W667" s="28">
        <f t="shared" si="502"/>
        <v>-8.4352909189777067E-7</v>
      </c>
      <c r="X667" s="28">
        <f t="shared" si="502"/>
        <v>-8.4352909189777067E-7</v>
      </c>
      <c r="Y667" s="28">
        <f t="shared" si="502"/>
        <v>-8.4352909189777067E-7</v>
      </c>
      <c r="Z667" s="28">
        <f t="shared" si="502"/>
        <v>-8.4352909189777067E-7</v>
      </c>
      <c r="AA667" s="28">
        <f t="shared" si="502"/>
        <v>-8.4352909189777067E-7</v>
      </c>
      <c r="AB667" s="28">
        <f t="shared" si="502"/>
        <v>-8.4352909189777067E-7</v>
      </c>
      <c r="AC667" s="28">
        <f t="shared" si="502"/>
        <v>-8.4352909189777067E-7</v>
      </c>
      <c r="AD667" s="28">
        <f t="shared" si="502"/>
        <v>-8.4352909189777067E-7</v>
      </c>
      <c r="AE667" s="28">
        <f t="shared" si="502"/>
        <v>-8.4352909189777067E-7</v>
      </c>
      <c r="AF667" s="28">
        <f t="shared" si="502"/>
        <v>-8.4352909189777067E-7</v>
      </c>
      <c r="AG667" s="28"/>
    </row>
    <row r="668" spans="1:33" x14ac:dyDescent="0.2">
      <c r="A668" s="198" t="s">
        <v>598</v>
      </c>
      <c r="B668" s="212"/>
      <c r="C668" s="79">
        <f>-(C242/C244)*C676</f>
        <v>-3.3741163675910827E-6</v>
      </c>
      <c r="D668" s="79">
        <f t="shared" ref="D668:AF668" si="503">-(D242/D244)*D676</f>
        <v>-3.3741163675910827E-6</v>
      </c>
      <c r="E668" s="79">
        <f t="shared" si="503"/>
        <v>-3.3741163675910827E-6</v>
      </c>
      <c r="F668" s="79">
        <f t="shared" si="503"/>
        <v>-3.3741163675910827E-6</v>
      </c>
      <c r="G668" s="79">
        <f t="shared" si="503"/>
        <v>-3.3741163675910827E-6</v>
      </c>
      <c r="H668" s="79">
        <f t="shared" si="503"/>
        <v>-3.3741163675910827E-6</v>
      </c>
      <c r="I668" s="79">
        <f t="shared" si="503"/>
        <v>-3.3741163675910827E-6</v>
      </c>
      <c r="J668" s="79">
        <f t="shared" si="503"/>
        <v>-3.3741163675910827E-6</v>
      </c>
      <c r="K668" s="79">
        <f t="shared" si="503"/>
        <v>-3.3741163675910827E-6</v>
      </c>
      <c r="L668" s="79">
        <f t="shared" si="503"/>
        <v>-3.3741163675910827E-6</v>
      </c>
      <c r="M668" s="79">
        <f t="shared" si="503"/>
        <v>-3.3741163675910827E-6</v>
      </c>
      <c r="N668" s="79">
        <f t="shared" si="503"/>
        <v>-3.3741163675910827E-6</v>
      </c>
      <c r="O668" s="79">
        <f t="shared" si="503"/>
        <v>-3.3741163675910827E-6</v>
      </c>
      <c r="P668" s="79">
        <f t="shared" si="503"/>
        <v>-3.3741163675910827E-6</v>
      </c>
      <c r="Q668" s="79">
        <f t="shared" si="503"/>
        <v>-3.3741163675910827E-6</v>
      </c>
      <c r="R668" s="79">
        <f t="shared" si="503"/>
        <v>-3.3741163675910827E-6</v>
      </c>
      <c r="S668" s="79">
        <f t="shared" si="503"/>
        <v>-3.3741163675910827E-6</v>
      </c>
      <c r="T668" s="79">
        <f t="shared" si="503"/>
        <v>-3.3741163675910827E-6</v>
      </c>
      <c r="U668" s="79">
        <f t="shared" si="503"/>
        <v>-3.3741163675910827E-6</v>
      </c>
      <c r="V668" s="79">
        <f t="shared" si="503"/>
        <v>-3.3741163675910827E-6</v>
      </c>
      <c r="W668" s="79">
        <f t="shared" si="503"/>
        <v>-3.3741163675910827E-6</v>
      </c>
      <c r="X668" s="79">
        <f t="shared" si="503"/>
        <v>-3.3741163675910827E-6</v>
      </c>
      <c r="Y668" s="79">
        <f t="shared" si="503"/>
        <v>-3.3741163675910827E-6</v>
      </c>
      <c r="Z668" s="79">
        <f t="shared" si="503"/>
        <v>-3.3741163675910827E-6</v>
      </c>
      <c r="AA668" s="79">
        <f t="shared" si="503"/>
        <v>-3.3741163675910827E-6</v>
      </c>
      <c r="AB668" s="79">
        <f t="shared" si="503"/>
        <v>-3.3741163675910827E-6</v>
      </c>
      <c r="AC668" s="79">
        <f t="shared" si="503"/>
        <v>-3.3741163675910827E-6</v>
      </c>
      <c r="AD668" s="79">
        <f t="shared" si="503"/>
        <v>-3.3741163675910827E-6</v>
      </c>
      <c r="AE668" s="79">
        <f t="shared" si="503"/>
        <v>-3.3741163675910827E-6</v>
      </c>
      <c r="AF668" s="79">
        <f t="shared" si="503"/>
        <v>-3.3741163675910827E-6</v>
      </c>
      <c r="AG668" s="211"/>
    </row>
    <row r="669" spans="1:33" x14ac:dyDescent="0.2">
      <c r="A669" s="44" t="s">
        <v>479</v>
      </c>
      <c r="B669" s="64"/>
      <c r="C669" s="28">
        <f>C668*C675</f>
        <v>-1.6870581837955414E-7</v>
      </c>
      <c r="D669" s="28">
        <f t="shared" ref="D669:AF669" si="504">D668*D675</f>
        <v>-1.6870581837955414E-7</v>
      </c>
      <c r="E669" s="28">
        <f t="shared" si="504"/>
        <v>-1.6870581837955414E-7</v>
      </c>
      <c r="F669" s="28">
        <f t="shared" si="504"/>
        <v>-1.6870581837955414E-7</v>
      </c>
      <c r="G669" s="28">
        <f t="shared" si="504"/>
        <v>-1.6870581837955414E-7</v>
      </c>
      <c r="H669" s="28">
        <f t="shared" si="504"/>
        <v>-1.6870581837955414E-7</v>
      </c>
      <c r="I669" s="28">
        <f t="shared" si="504"/>
        <v>-1.6870581837955414E-7</v>
      </c>
      <c r="J669" s="28">
        <f t="shared" si="504"/>
        <v>-1.6870581837955414E-7</v>
      </c>
      <c r="K669" s="28">
        <f t="shared" si="504"/>
        <v>-1.6870581837955414E-7</v>
      </c>
      <c r="L669" s="28">
        <f t="shared" si="504"/>
        <v>-1.6870581837955414E-7</v>
      </c>
      <c r="M669" s="28">
        <f t="shared" si="504"/>
        <v>-1.6870581837955414E-7</v>
      </c>
      <c r="N669" s="28">
        <f t="shared" si="504"/>
        <v>-1.6870581837955414E-7</v>
      </c>
      <c r="O669" s="28">
        <f t="shared" si="504"/>
        <v>-1.6870581837955414E-7</v>
      </c>
      <c r="P669" s="28">
        <f t="shared" si="504"/>
        <v>-1.6870581837955414E-7</v>
      </c>
      <c r="Q669" s="28">
        <f t="shared" si="504"/>
        <v>-1.6870581837955414E-7</v>
      </c>
      <c r="R669" s="28">
        <f t="shared" si="504"/>
        <v>-1.6870581837955414E-7</v>
      </c>
      <c r="S669" s="28">
        <f t="shared" si="504"/>
        <v>-1.6870581837955414E-7</v>
      </c>
      <c r="T669" s="28">
        <f t="shared" si="504"/>
        <v>-1.6870581837955414E-7</v>
      </c>
      <c r="U669" s="28">
        <f t="shared" si="504"/>
        <v>-1.6870581837955414E-7</v>
      </c>
      <c r="V669" s="28">
        <f t="shared" si="504"/>
        <v>-1.6870581837955414E-7</v>
      </c>
      <c r="W669" s="28">
        <f t="shared" si="504"/>
        <v>-1.6870581837955414E-7</v>
      </c>
      <c r="X669" s="28">
        <f t="shared" si="504"/>
        <v>-1.6870581837955414E-7</v>
      </c>
      <c r="Y669" s="28">
        <f t="shared" si="504"/>
        <v>-1.6870581837955414E-7</v>
      </c>
      <c r="Z669" s="28">
        <f t="shared" si="504"/>
        <v>-1.6870581837955414E-7</v>
      </c>
      <c r="AA669" s="28">
        <f t="shared" si="504"/>
        <v>-1.6870581837955414E-7</v>
      </c>
      <c r="AB669" s="28">
        <f t="shared" si="504"/>
        <v>-1.6870581837955414E-7</v>
      </c>
      <c r="AC669" s="28">
        <f t="shared" si="504"/>
        <v>-1.6870581837955414E-7</v>
      </c>
      <c r="AD669" s="28">
        <f t="shared" si="504"/>
        <v>-1.6870581837955414E-7</v>
      </c>
      <c r="AE669" s="28">
        <f t="shared" si="504"/>
        <v>-1.6870581837955414E-7</v>
      </c>
      <c r="AF669" s="28">
        <f t="shared" si="504"/>
        <v>-1.6870581837955414E-7</v>
      </c>
      <c r="AG669" s="28"/>
    </row>
    <row r="670" spans="1:33" x14ac:dyDescent="0.2">
      <c r="A670" s="44"/>
      <c r="B670" s="64"/>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c r="AA670" s="28"/>
      <c r="AB670" s="28"/>
      <c r="AC670" s="28"/>
      <c r="AD670" s="28"/>
      <c r="AE670" s="28"/>
      <c r="AF670" s="28"/>
      <c r="AG670" s="28"/>
    </row>
    <row r="671" spans="1:33" ht="18" x14ac:dyDescent="0.2">
      <c r="A671" s="1" t="s">
        <v>10</v>
      </c>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c r="AA671" s="28"/>
      <c r="AB671" s="28"/>
      <c r="AC671" s="28"/>
      <c r="AD671" s="28"/>
      <c r="AE671" s="28"/>
      <c r="AF671" s="28"/>
    </row>
    <row r="672" spans="1:33" s="262" customFormat="1" x14ac:dyDescent="0.2">
      <c r="A672" s="198" t="s">
        <v>375</v>
      </c>
      <c r="B672" s="63"/>
      <c r="C672" s="263">
        <f>C42</f>
        <v>3</v>
      </c>
      <c r="D672" s="263">
        <f t="shared" ref="D672:AF672" si="505">D42</f>
        <v>3</v>
      </c>
      <c r="E672" s="263">
        <f t="shared" si="505"/>
        <v>3</v>
      </c>
      <c r="F672" s="263">
        <f t="shared" si="505"/>
        <v>3</v>
      </c>
      <c r="G672" s="263">
        <f t="shared" si="505"/>
        <v>3</v>
      </c>
      <c r="H672" s="263">
        <f t="shared" si="505"/>
        <v>3</v>
      </c>
      <c r="I672" s="263">
        <f t="shared" si="505"/>
        <v>3</v>
      </c>
      <c r="J672" s="263">
        <f t="shared" si="505"/>
        <v>3</v>
      </c>
      <c r="K672" s="263">
        <f t="shared" si="505"/>
        <v>3</v>
      </c>
      <c r="L672" s="263">
        <f t="shared" si="505"/>
        <v>3</v>
      </c>
      <c r="M672" s="263">
        <f t="shared" si="505"/>
        <v>3</v>
      </c>
      <c r="N672" s="263">
        <f t="shared" si="505"/>
        <v>3</v>
      </c>
      <c r="O672" s="263">
        <f t="shared" si="505"/>
        <v>3</v>
      </c>
      <c r="P672" s="263">
        <f t="shared" si="505"/>
        <v>3</v>
      </c>
      <c r="Q672" s="263">
        <f t="shared" si="505"/>
        <v>3</v>
      </c>
      <c r="R672" s="263">
        <f t="shared" si="505"/>
        <v>3</v>
      </c>
      <c r="S672" s="263">
        <f t="shared" si="505"/>
        <v>3</v>
      </c>
      <c r="T672" s="263">
        <f t="shared" si="505"/>
        <v>3</v>
      </c>
      <c r="U672" s="263">
        <f t="shared" si="505"/>
        <v>3</v>
      </c>
      <c r="V672" s="263">
        <f t="shared" si="505"/>
        <v>3</v>
      </c>
      <c r="W672" s="263">
        <f t="shared" si="505"/>
        <v>3</v>
      </c>
      <c r="X672" s="263">
        <f t="shared" si="505"/>
        <v>3</v>
      </c>
      <c r="Y672" s="263">
        <f t="shared" si="505"/>
        <v>3</v>
      </c>
      <c r="Z672" s="263">
        <f t="shared" si="505"/>
        <v>3</v>
      </c>
      <c r="AA672" s="263">
        <f t="shared" si="505"/>
        <v>3</v>
      </c>
      <c r="AB672" s="263">
        <f t="shared" si="505"/>
        <v>3</v>
      </c>
      <c r="AC672" s="263">
        <f t="shared" si="505"/>
        <v>3</v>
      </c>
      <c r="AD672" s="263">
        <f t="shared" si="505"/>
        <v>3</v>
      </c>
      <c r="AE672" s="263">
        <f t="shared" si="505"/>
        <v>3</v>
      </c>
      <c r="AF672" s="263">
        <f t="shared" si="505"/>
        <v>3</v>
      </c>
      <c r="AG672" s="263"/>
    </row>
    <row r="673" spans="1:33" s="262" customFormat="1" x14ac:dyDescent="0.2">
      <c r="A673" s="44" t="s">
        <v>472</v>
      </c>
      <c r="B673" s="63"/>
      <c r="C673" s="263">
        <f>'Raw Data Input'!$AU57</f>
        <v>0.5</v>
      </c>
      <c r="D673" s="263">
        <f>'Raw Data Input'!$AU57</f>
        <v>0.5</v>
      </c>
      <c r="E673" s="263">
        <f>'Raw Data Input'!$AU57</f>
        <v>0.5</v>
      </c>
      <c r="F673" s="263">
        <f>'Raw Data Input'!$AU57</f>
        <v>0.5</v>
      </c>
      <c r="G673" s="263">
        <f>'Raw Data Input'!$AU57</f>
        <v>0.5</v>
      </c>
      <c r="H673" s="263">
        <f>'Raw Data Input'!$AU57</f>
        <v>0.5</v>
      </c>
      <c r="I673" s="263">
        <f>'Raw Data Input'!$AU57</f>
        <v>0.5</v>
      </c>
      <c r="J673" s="263">
        <f>'Raw Data Input'!$AU57</f>
        <v>0.5</v>
      </c>
      <c r="K673" s="263">
        <f>'Raw Data Input'!$AU57</f>
        <v>0.5</v>
      </c>
      <c r="L673" s="263">
        <f>'Raw Data Input'!$AU57</f>
        <v>0.5</v>
      </c>
      <c r="M673" s="263">
        <f>'Raw Data Input'!$AU57</f>
        <v>0.5</v>
      </c>
      <c r="N673" s="263">
        <f>'Raw Data Input'!$AU57</f>
        <v>0.5</v>
      </c>
      <c r="O673" s="263">
        <f>'Raw Data Input'!$AU57</f>
        <v>0.5</v>
      </c>
      <c r="P673" s="263">
        <f>'Raw Data Input'!$AU57</f>
        <v>0.5</v>
      </c>
      <c r="Q673" s="263">
        <f>'Raw Data Input'!$AU57</f>
        <v>0.5</v>
      </c>
      <c r="R673" s="263">
        <f>'Raw Data Input'!$AU57</f>
        <v>0.5</v>
      </c>
      <c r="S673" s="263">
        <f>'Raw Data Input'!$AU57</f>
        <v>0.5</v>
      </c>
      <c r="T673" s="263">
        <f>'Raw Data Input'!$AU57</f>
        <v>0.5</v>
      </c>
      <c r="U673" s="263">
        <f>'Raw Data Input'!$AU57</f>
        <v>0.5</v>
      </c>
      <c r="V673" s="263">
        <f>'Raw Data Input'!$AU57</f>
        <v>0.5</v>
      </c>
      <c r="W673" s="263">
        <f>'Raw Data Input'!$AU57</f>
        <v>0.5</v>
      </c>
      <c r="X673" s="263">
        <f>'Raw Data Input'!$AU57</f>
        <v>0.5</v>
      </c>
      <c r="Y673" s="263">
        <f>'Raw Data Input'!$AU57</f>
        <v>0.5</v>
      </c>
      <c r="Z673" s="263">
        <f>'Raw Data Input'!$AU57</f>
        <v>0.5</v>
      </c>
      <c r="AA673" s="263">
        <f>'Raw Data Input'!$AU57</f>
        <v>0.5</v>
      </c>
      <c r="AB673" s="263">
        <f>'Raw Data Input'!$AU57</f>
        <v>0.5</v>
      </c>
      <c r="AC673" s="263">
        <f>'Raw Data Input'!$AU57</f>
        <v>0.5</v>
      </c>
      <c r="AD673" s="263">
        <f>'Raw Data Input'!$AU57</f>
        <v>0.5</v>
      </c>
      <c r="AE673" s="263">
        <f>'Raw Data Input'!$AU57</f>
        <v>0.5</v>
      </c>
      <c r="AF673" s="263">
        <f>'Raw Data Input'!$AU57</f>
        <v>0.5</v>
      </c>
      <c r="AG673" s="263"/>
    </row>
    <row r="674" spans="1:33" s="262" customFormat="1" x14ac:dyDescent="0.2">
      <c r="A674" s="198" t="s">
        <v>11</v>
      </c>
      <c r="B674" s="63"/>
      <c r="C674" s="263">
        <f>C43</f>
        <v>1</v>
      </c>
      <c r="D674" s="263">
        <f t="shared" ref="D674:AF674" si="506">D43</f>
        <v>1</v>
      </c>
      <c r="E674" s="263">
        <f t="shared" si="506"/>
        <v>1</v>
      </c>
      <c r="F674" s="263">
        <f t="shared" si="506"/>
        <v>1</v>
      </c>
      <c r="G674" s="263">
        <f t="shared" si="506"/>
        <v>1</v>
      </c>
      <c r="H674" s="263">
        <f t="shared" si="506"/>
        <v>1</v>
      </c>
      <c r="I674" s="263">
        <f t="shared" si="506"/>
        <v>1</v>
      </c>
      <c r="J674" s="263">
        <f t="shared" si="506"/>
        <v>1</v>
      </c>
      <c r="K674" s="263">
        <f t="shared" si="506"/>
        <v>1</v>
      </c>
      <c r="L674" s="263">
        <f t="shared" si="506"/>
        <v>1</v>
      </c>
      <c r="M674" s="263">
        <f t="shared" si="506"/>
        <v>1</v>
      </c>
      <c r="N674" s="263">
        <f t="shared" si="506"/>
        <v>1</v>
      </c>
      <c r="O674" s="263">
        <f t="shared" si="506"/>
        <v>1</v>
      </c>
      <c r="P674" s="263">
        <f t="shared" si="506"/>
        <v>1</v>
      </c>
      <c r="Q674" s="263">
        <f t="shared" si="506"/>
        <v>1</v>
      </c>
      <c r="R674" s="263">
        <f t="shared" si="506"/>
        <v>1</v>
      </c>
      <c r="S674" s="263">
        <f t="shared" si="506"/>
        <v>1</v>
      </c>
      <c r="T674" s="263">
        <f t="shared" si="506"/>
        <v>1</v>
      </c>
      <c r="U674" s="263">
        <f t="shared" si="506"/>
        <v>1</v>
      </c>
      <c r="V674" s="263">
        <f t="shared" si="506"/>
        <v>1</v>
      </c>
      <c r="W674" s="263">
        <f t="shared" si="506"/>
        <v>1</v>
      </c>
      <c r="X674" s="263">
        <f t="shared" si="506"/>
        <v>1</v>
      </c>
      <c r="Y674" s="263">
        <f t="shared" si="506"/>
        <v>1</v>
      </c>
      <c r="Z674" s="263">
        <f t="shared" si="506"/>
        <v>1</v>
      </c>
      <c r="AA674" s="263">
        <f t="shared" si="506"/>
        <v>1</v>
      </c>
      <c r="AB674" s="263">
        <f t="shared" si="506"/>
        <v>1</v>
      </c>
      <c r="AC674" s="263">
        <f t="shared" si="506"/>
        <v>1</v>
      </c>
      <c r="AD674" s="263">
        <f t="shared" si="506"/>
        <v>1</v>
      </c>
      <c r="AE674" s="263">
        <f t="shared" si="506"/>
        <v>1</v>
      </c>
      <c r="AF674" s="263">
        <f t="shared" si="506"/>
        <v>1</v>
      </c>
      <c r="AG674" s="263"/>
    </row>
    <row r="675" spans="1:33" s="262" customFormat="1" x14ac:dyDescent="0.2">
      <c r="A675" s="44" t="s">
        <v>472</v>
      </c>
      <c r="B675" s="63"/>
      <c r="C675" s="263">
        <f>'Raw Data Input'!$AU58</f>
        <v>0.05</v>
      </c>
      <c r="D675" s="263">
        <f>'Raw Data Input'!$AU58</f>
        <v>0.05</v>
      </c>
      <c r="E675" s="263">
        <f>'Raw Data Input'!$AU58</f>
        <v>0.05</v>
      </c>
      <c r="F675" s="263">
        <f>'Raw Data Input'!$AU58</f>
        <v>0.05</v>
      </c>
      <c r="G675" s="263">
        <f>'Raw Data Input'!$AU58</f>
        <v>0.05</v>
      </c>
      <c r="H675" s="263">
        <f>'Raw Data Input'!$AU58</f>
        <v>0.05</v>
      </c>
      <c r="I675" s="263">
        <f>'Raw Data Input'!$AU58</f>
        <v>0.05</v>
      </c>
      <c r="J675" s="263">
        <f>'Raw Data Input'!$AU58</f>
        <v>0.05</v>
      </c>
      <c r="K675" s="263">
        <f>'Raw Data Input'!$AU58</f>
        <v>0.05</v>
      </c>
      <c r="L675" s="263">
        <f>'Raw Data Input'!$AU58</f>
        <v>0.05</v>
      </c>
      <c r="M675" s="263">
        <f>'Raw Data Input'!$AU58</f>
        <v>0.05</v>
      </c>
      <c r="N675" s="263">
        <f>'Raw Data Input'!$AU58</f>
        <v>0.05</v>
      </c>
      <c r="O675" s="263">
        <f>'Raw Data Input'!$AU58</f>
        <v>0.05</v>
      </c>
      <c r="P675" s="263">
        <f>'Raw Data Input'!$AU58</f>
        <v>0.05</v>
      </c>
      <c r="Q675" s="263">
        <f>'Raw Data Input'!$AU58</f>
        <v>0.05</v>
      </c>
      <c r="R675" s="263">
        <f>'Raw Data Input'!$AU58</f>
        <v>0.05</v>
      </c>
      <c r="S675" s="263">
        <f>'Raw Data Input'!$AU58</f>
        <v>0.05</v>
      </c>
      <c r="T675" s="263">
        <f>'Raw Data Input'!$AU58</f>
        <v>0.05</v>
      </c>
      <c r="U675" s="263">
        <f>'Raw Data Input'!$AU58</f>
        <v>0.05</v>
      </c>
      <c r="V675" s="263">
        <f>'Raw Data Input'!$AU58</f>
        <v>0.05</v>
      </c>
      <c r="W675" s="263">
        <f>'Raw Data Input'!$AU58</f>
        <v>0.05</v>
      </c>
      <c r="X675" s="263">
        <f>'Raw Data Input'!$AU58</f>
        <v>0.05</v>
      </c>
      <c r="Y675" s="263">
        <f>'Raw Data Input'!$AU58</f>
        <v>0.05</v>
      </c>
      <c r="Z675" s="263">
        <f>'Raw Data Input'!$AU58</f>
        <v>0.05</v>
      </c>
      <c r="AA675" s="263">
        <f>'Raw Data Input'!$AU58</f>
        <v>0.05</v>
      </c>
      <c r="AB675" s="263">
        <f>'Raw Data Input'!$AU58</f>
        <v>0.05</v>
      </c>
      <c r="AC675" s="263">
        <f>'Raw Data Input'!$AU58</f>
        <v>0.05</v>
      </c>
      <c r="AD675" s="263">
        <f>'Raw Data Input'!$AU58</f>
        <v>0.05</v>
      </c>
      <c r="AE675" s="263">
        <f>'Raw Data Input'!$AU58</f>
        <v>0.05</v>
      </c>
      <c r="AF675" s="263">
        <f>'Raw Data Input'!$AU58</f>
        <v>0.05</v>
      </c>
      <c r="AG675" s="263"/>
    </row>
    <row r="676" spans="1:33" s="262" customFormat="1" x14ac:dyDescent="0.2">
      <c r="A676" s="44" t="s">
        <v>565</v>
      </c>
      <c r="B676" s="63"/>
      <c r="C676" s="263">
        <f>'Raw Data Input'!$AT55</f>
        <v>0.2</v>
      </c>
      <c r="D676" s="263">
        <f>'Raw Data Input'!$AT55</f>
        <v>0.2</v>
      </c>
      <c r="E676" s="263">
        <f>'Raw Data Input'!$AT55</f>
        <v>0.2</v>
      </c>
      <c r="F676" s="263">
        <f>'Raw Data Input'!$AT55</f>
        <v>0.2</v>
      </c>
      <c r="G676" s="263">
        <f>'Raw Data Input'!$AT55</f>
        <v>0.2</v>
      </c>
      <c r="H676" s="263">
        <f>'Raw Data Input'!$AT55</f>
        <v>0.2</v>
      </c>
      <c r="I676" s="263">
        <f>'Raw Data Input'!$AT55</f>
        <v>0.2</v>
      </c>
      <c r="J676" s="263">
        <f>'Raw Data Input'!$AT55</f>
        <v>0.2</v>
      </c>
      <c r="K676" s="263">
        <f>'Raw Data Input'!$AT55</f>
        <v>0.2</v>
      </c>
      <c r="L676" s="263">
        <f>'Raw Data Input'!$AT55</f>
        <v>0.2</v>
      </c>
      <c r="M676" s="263">
        <f>'Raw Data Input'!$AT55</f>
        <v>0.2</v>
      </c>
      <c r="N676" s="263">
        <f>'Raw Data Input'!$AT55</f>
        <v>0.2</v>
      </c>
      <c r="O676" s="263">
        <f>'Raw Data Input'!$AT55</f>
        <v>0.2</v>
      </c>
      <c r="P676" s="263">
        <f>'Raw Data Input'!$AT55</f>
        <v>0.2</v>
      </c>
      <c r="Q676" s="263">
        <f>'Raw Data Input'!$AT55</f>
        <v>0.2</v>
      </c>
      <c r="R676" s="263">
        <f>'Raw Data Input'!$AT55</f>
        <v>0.2</v>
      </c>
      <c r="S676" s="263">
        <f>'Raw Data Input'!$AT55</f>
        <v>0.2</v>
      </c>
      <c r="T676" s="263">
        <f>'Raw Data Input'!$AT55</f>
        <v>0.2</v>
      </c>
      <c r="U676" s="263">
        <f>'Raw Data Input'!$AT55</f>
        <v>0.2</v>
      </c>
      <c r="V676" s="263">
        <f>'Raw Data Input'!$AT55</f>
        <v>0.2</v>
      </c>
      <c r="W676" s="263">
        <f>'Raw Data Input'!$AT55</f>
        <v>0.2</v>
      </c>
      <c r="X676" s="263">
        <f>'Raw Data Input'!$AT55</f>
        <v>0.2</v>
      </c>
      <c r="Y676" s="263">
        <f>'Raw Data Input'!$AT55</f>
        <v>0.2</v>
      </c>
      <c r="Z676" s="263">
        <f>'Raw Data Input'!$AT55</f>
        <v>0.2</v>
      </c>
      <c r="AA676" s="263">
        <f>'Raw Data Input'!$AT55</f>
        <v>0.2</v>
      </c>
      <c r="AB676" s="263">
        <f>'Raw Data Input'!$AT55</f>
        <v>0.2</v>
      </c>
      <c r="AC676" s="263">
        <f>'Raw Data Input'!$AT55</f>
        <v>0.2</v>
      </c>
      <c r="AD676" s="263">
        <f>'Raw Data Input'!$AT55</f>
        <v>0.2</v>
      </c>
      <c r="AE676" s="263">
        <f>'Raw Data Input'!$AT55</f>
        <v>0.2</v>
      </c>
      <c r="AF676" s="263">
        <f>'Raw Data Input'!$AT55</f>
        <v>0.2</v>
      </c>
      <c r="AG676" s="263"/>
    </row>
    <row r="677" spans="1:33" s="262" customFormat="1" x14ac:dyDescent="0.2">
      <c r="A677" s="44" t="s">
        <v>472</v>
      </c>
      <c r="B677" s="63"/>
      <c r="C677" s="263">
        <f>'Raw Data Input'!$AU55</f>
        <v>0.05</v>
      </c>
      <c r="D677" s="263">
        <f>'Raw Data Input'!$AU55</f>
        <v>0.05</v>
      </c>
      <c r="E677" s="263">
        <f>'Raw Data Input'!$AU55</f>
        <v>0.05</v>
      </c>
      <c r="F677" s="263">
        <f>'Raw Data Input'!$AU55</f>
        <v>0.05</v>
      </c>
      <c r="G677" s="263">
        <f>'Raw Data Input'!$AU55</f>
        <v>0.05</v>
      </c>
      <c r="H677" s="263">
        <f>'Raw Data Input'!$AU55</f>
        <v>0.05</v>
      </c>
      <c r="I677" s="263">
        <f>'Raw Data Input'!$AU55</f>
        <v>0.05</v>
      </c>
      <c r="J677" s="263">
        <f>'Raw Data Input'!$AU55</f>
        <v>0.05</v>
      </c>
      <c r="K677" s="263">
        <f>'Raw Data Input'!$AU55</f>
        <v>0.05</v>
      </c>
      <c r="L677" s="263">
        <f>'Raw Data Input'!$AU55</f>
        <v>0.05</v>
      </c>
      <c r="M677" s="263">
        <f>'Raw Data Input'!$AU55</f>
        <v>0.05</v>
      </c>
      <c r="N677" s="263">
        <f>'Raw Data Input'!$AU55</f>
        <v>0.05</v>
      </c>
      <c r="O677" s="263">
        <f>'Raw Data Input'!$AU55</f>
        <v>0.05</v>
      </c>
      <c r="P677" s="263">
        <f>'Raw Data Input'!$AU55</f>
        <v>0.05</v>
      </c>
      <c r="Q677" s="263">
        <f>'Raw Data Input'!$AU55</f>
        <v>0.05</v>
      </c>
      <c r="R677" s="263">
        <f>'Raw Data Input'!$AU55</f>
        <v>0.05</v>
      </c>
      <c r="S677" s="263">
        <f>'Raw Data Input'!$AU55</f>
        <v>0.05</v>
      </c>
      <c r="T677" s="263">
        <f>'Raw Data Input'!$AU55</f>
        <v>0.05</v>
      </c>
      <c r="U677" s="263">
        <f>'Raw Data Input'!$AU55</f>
        <v>0.05</v>
      </c>
      <c r="V677" s="263">
        <f>'Raw Data Input'!$AU55</f>
        <v>0.05</v>
      </c>
      <c r="W677" s="263">
        <f>'Raw Data Input'!$AU55</f>
        <v>0.05</v>
      </c>
      <c r="X677" s="263">
        <f>'Raw Data Input'!$AU55</f>
        <v>0.05</v>
      </c>
      <c r="Y677" s="263">
        <f>'Raw Data Input'!$AU55</f>
        <v>0.05</v>
      </c>
      <c r="Z677" s="263">
        <f>'Raw Data Input'!$AU55</f>
        <v>0.05</v>
      </c>
      <c r="AA677" s="263">
        <f>'Raw Data Input'!$AU55</f>
        <v>0.05</v>
      </c>
      <c r="AB677" s="263">
        <f>'Raw Data Input'!$AU55</f>
        <v>0.05</v>
      </c>
      <c r="AC677" s="263">
        <f>'Raw Data Input'!$AU55</f>
        <v>0.05</v>
      </c>
      <c r="AD677" s="263">
        <f>'Raw Data Input'!$AU55</f>
        <v>0.05</v>
      </c>
      <c r="AE677" s="263">
        <f>'Raw Data Input'!$AU55</f>
        <v>0.05</v>
      </c>
      <c r="AF677" s="263">
        <f>'Raw Data Input'!$AU55</f>
        <v>0.05</v>
      </c>
      <c r="AG677" s="263"/>
    </row>
    <row r="678" spans="1:33" x14ac:dyDescent="0.2">
      <c r="A678" s="521" t="s">
        <v>8</v>
      </c>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c r="AA678" s="28"/>
      <c r="AB678" s="28"/>
      <c r="AC678" s="28"/>
      <c r="AD678" s="28"/>
      <c r="AE678" s="28"/>
      <c r="AF678" s="28"/>
    </row>
    <row r="679" spans="1:33" x14ac:dyDescent="0.2">
      <c r="A679" s="198" t="s">
        <v>566</v>
      </c>
      <c r="C679" s="680">
        <f t="shared" ref="C679:AF679" si="507">C690-((C$242/C$244)*((C682/C$672)*C674-1))</f>
        <v>1.2884768338671354E-2</v>
      </c>
      <c r="D679" s="680">
        <f t="shared" si="507"/>
        <v>1.394146051368356E-2</v>
      </c>
      <c r="E679" s="680">
        <f t="shared" si="507"/>
        <v>1.3988457805690292E-2</v>
      </c>
      <c r="F679" s="680">
        <f t="shared" si="507"/>
        <v>1.2073848763426631E-2</v>
      </c>
      <c r="G679" s="680">
        <f t="shared" si="507"/>
        <v>1.4426005518753712E-2</v>
      </c>
      <c r="H679" s="680">
        <f t="shared" si="507"/>
        <v>1.4860100754333288E-2</v>
      </c>
      <c r="I679" s="680">
        <f t="shared" si="507"/>
        <v>1.3544715909942032E-2</v>
      </c>
      <c r="J679" s="680">
        <f t="shared" si="507"/>
        <v>1.3963958575578148E-2</v>
      </c>
      <c r="K679" s="680">
        <f t="shared" si="507"/>
        <v>6.9416477122154676E-3</v>
      </c>
      <c r="L679" s="680">
        <f t="shared" si="507"/>
        <v>6.940445197774466E-3</v>
      </c>
      <c r="M679" s="680">
        <f t="shared" si="507"/>
        <v>6.9400220830953116E-3</v>
      </c>
      <c r="N679" s="680">
        <f t="shared" si="507"/>
        <v>6.9397764738743702E-3</v>
      </c>
      <c r="O679" s="680">
        <f t="shared" si="507"/>
        <v>6.9367975552775442E-3</v>
      </c>
      <c r="P679" s="680">
        <f t="shared" si="507"/>
        <v>6.9381026723734657E-3</v>
      </c>
      <c r="Q679" s="680">
        <f t="shared" si="507"/>
        <v>6.9289196972133959E-3</v>
      </c>
      <c r="R679" s="680">
        <f t="shared" si="507"/>
        <v>4.4292568612713341E-3</v>
      </c>
      <c r="S679" s="680">
        <f t="shared" si="507"/>
        <v>4.4284327367583344E-3</v>
      </c>
      <c r="T679" s="680">
        <f t="shared" si="507"/>
        <v>4.4060846409563039E-3</v>
      </c>
      <c r="U679" s="680">
        <f t="shared" si="507"/>
        <v>4.4040814091152597E-3</v>
      </c>
      <c r="V679" s="680">
        <f t="shared" si="507"/>
        <v>4.3897258077856853E-3</v>
      </c>
      <c r="W679" s="680">
        <f t="shared" si="507"/>
        <v>4.390188568562289E-3</v>
      </c>
      <c r="X679" s="680">
        <f t="shared" si="507"/>
        <v>4.4432311727039264E-3</v>
      </c>
      <c r="Y679" s="680">
        <f t="shared" si="507"/>
        <v>4.4210954284029684E-3</v>
      </c>
      <c r="Z679" s="680">
        <f t="shared" si="507"/>
        <v>4.4109858412383308E-3</v>
      </c>
      <c r="AA679" s="680">
        <f t="shared" si="507"/>
        <v>0.49044154474952595</v>
      </c>
      <c r="AB679" s="680">
        <f t="shared" si="507"/>
        <v>0.49173739477680434</v>
      </c>
      <c r="AC679" s="680">
        <f t="shared" si="507"/>
        <v>0.49149739368299483</v>
      </c>
      <c r="AD679" s="680">
        <f t="shared" si="507"/>
        <v>0.4917095932516331</v>
      </c>
      <c r="AE679" s="680">
        <f t="shared" si="507"/>
        <v>0.49064813985309202</v>
      </c>
      <c r="AF679" s="680">
        <f t="shared" si="507"/>
        <v>0.49164994952780011</v>
      </c>
      <c r="AG679" s="217"/>
    </row>
    <row r="680" spans="1:33" s="45" customFormat="1" x14ac:dyDescent="0.2">
      <c r="A680" s="46" t="s">
        <v>567</v>
      </c>
      <c r="B680" s="44"/>
      <c r="C680" s="681">
        <f t="shared" ref="C680:AF680" si="508">(1/C$242)*LN(C679+1)/1000000</f>
        <v>82.529997887060745</v>
      </c>
      <c r="D680" s="681">
        <f t="shared" si="508"/>
        <v>89.251714769676099</v>
      </c>
      <c r="E680" s="681">
        <f t="shared" si="508"/>
        <v>89.550506169744239</v>
      </c>
      <c r="F680" s="681">
        <f t="shared" si="508"/>
        <v>77.366905974263531</v>
      </c>
      <c r="G680" s="681">
        <f t="shared" si="508"/>
        <v>92.331608235016802</v>
      </c>
      <c r="H680" s="681">
        <f t="shared" si="508"/>
        <v>95.089580821592861</v>
      </c>
      <c r="I680" s="681">
        <f t="shared" si="508"/>
        <v>86.72880723755938</v>
      </c>
      <c r="J680" s="681">
        <f t="shared" si="508"/>
        <v>89.394750854010212</v>
      </c>
      <c r="K680" s="681">
        <f t="shared" si="508"/>
        <v>44.594136317783793</v>
      </c>
      <c r="L680" s="681">
        <f t="shared" si="508"/>
        <v>44.586437847079061</v>
      </c>
      <c r="M680" s="681">
        <f t="shared" si="508"/>
        <v>44.583729074128399</v>
      </c>
      <c r="N680" s="681">
        <f t="shared" si="508"/>
        <v>44.582156687567497</v>
      </c>
      <c r="O680" s="681">
        <f t="shared" si="508"/>
        <v>44.563085664708709</v>
      </c>
      <c r="P680" s="681">
        <f t="shared" si="508"/>
        <v>44.571441025167573</v>
      </c>
      <c r="Q680" s="681">
        <f t="shared" si="508"/>
        <v>44.512651382506313</v>
      </c>
      <c r="R680" s="681">
        <f t="shared" si="508"/>
        <v>28.48977645172614</v>
      </c>
      <c r="S680" s="681">
        <f t="shared" si="508"/>
        <v>28.484487228924113</v>
      </c>
      <c r="T680" s="681">
        <f t="shared" si="508"/>
        <v>28.341055721270884</v>
      </c>
      <c r="U680" s="681">
        <f t="shared" si="508"/>
        <v>28.328198695386995</v>
      </c>
      <c r="V680" s="681">
        <f t="shared" si="508"/>
        <v>28.236061661039866</v>
      </c>
      <c r="W680" s="681">
        <f t="shared" si="508"/>
        <v>28.239031770021708</v>
      </c>
      <c r="X680" s="681">
        <f t="shared" si="508"/>
        <v>28.57946278069079</v>
      </c>
      <c r="Y680" s="681">
        <f t="shared" si="508"/>
        <v>28.43739626668188</v>
      </c>
      <c r="Z680" s="681">
        <f t="shared" si="508"/>
        <v>28.372512211232667</v>
      </c>
      <c r="AA680" s="681">
        <f t="shared" si="508"/>
        <v>2572.5860745578198</v>
      </c>
      <c r="AB680" s="681">
        <f t="shared" si="508"/>
        <v>2578.1884121028834</v>
      </c>
      <c r="AC680" s="681">
        <f t="shared" si="508"/>
        <v>2577.1511846850635</v>
      </c>
      <c r="AD680" s="681">
        <f t="shared" si="508"/>
        <v>2578.0682690959038</v>
      </c>
      <c r="AE680" s="681">
        <f t="shared" si="508"/>
        <v>2573.4795717340994</v>
      </c>
      <c r="AF680" s="681">
        <f t="shared" si="508"/>
        <v>2577.8105139432118</v>
      </c>
      <c r="AG680" s="218"/>
    </row>
    <row r="681" spans="1:33" s="45" customFormat="1" x14ac:dyDescent="0.2">
      <c r="A681" s="46" t="s">
        <v>568</v>
      </c>
      <c r="B681" s="44"/>
      <c r="C681" s="682">
        <f>C139/(EXP(C36*1000000*C$243)-1)</f>
        <v>8.3599906877735006E-14</v>
      </c>
      <c r="D681" s="682">
        <f>D139/(EXP(D36*1000000*D$243)-1)</f>
        <v>3.7989129280484698E-14</v>
      </c>
      <c r="E681" s="682">
        <f t="shared" ref="E681:AF681" si="509">E139/(EXP(E36*1000000*E$243)-1)</f>
        <v>3.8072159111673761E-14</v>
      </c>
      <c r="F681" s="682">
        <f t="shared" si="509"/>
        <v>-2.6401988890077498E-14</v>
      </c>
      <c r="G681" s="682">
        <f t="shared" si="509"/>
        <v>1.1982973253083115E-13</v>
      </c>
      <c r="H681" s="682">
        <f t="shared" si="509"/>
        <v>5.5393066983299772E-14</v>
      </c>
      <c r="I681" s="682">
        <f t="shared" si="509"/>
        <v>5.3473359563245411E-14</v>
      </c>
      <c r="J681" s="682">
        <f t="shared" si="509"/>
        <v>6.7251539364340784E-14</v>
      </c>
      <c r="K681" s="682">
        <f t="shared" si="509"/>
        <v>6.3361805706989957E-12</v>
      </c>
      <c r="L681" s="682">
        <f t="shared" si="509"/>
        <v>4.4390992520950238E-12</v>
      </c>
      <c r="M681" s="682">
        <f t="shared" si="509"/>
        <v>4.0839001111486454E-12</v>
      </c>
      <c r="N681" s="682">
        <f t="shared" si="509"/>
        <v>6.7167060052230547E-12</v>
      </c>
      <c r="O681" s="682">
        <f t="shared" si="509"/>
        <v>1.6140779625038624E-12</v>
      </c>
      <c r="P681" s="682">
        <f t="shared" si="509"/>
        <v>3.540357152478862E-12</v>
      </c>
      <c r="Q681" s="682">
        <f t="shared" si="509"/>
        <v>5.9670105659844284E-13</v>
      </c>
      <c r="R681" s="682">
        <f t="shared" si="509"/>
        <v>1.3873693306344502E-12</v>
      </c>
      <c r="S681" s="682">
        <f t="shared" si="509"/>
        <v>1.5019190225101825E-12</v>
      </c>
      <c r="T681" s="682">
        <f t="shared" si="509"/>
        <v>1.2732264948682717E-12</v>
      </c>
      <c r="U681" s="682">
        <f t="shared" si="509"/>
        <v>9.2093838929172712E-13</v>
      </c>
      <c r="V681" s="682">
        <f t="shared" si="509"/>
        <v>3.5787090446606458E-13</v>
      </c>
      <c r="W681" s="682">
        <f t="shared" si="509"/>
        <v>2.71012108208928E-13</v>
      </c>
      <c r="X681" s="682">
        <f t="shared" si="509"/>
        <v>9.55361017508613E-13</v>
      </c>
      <c r="Y681" s="682">
        <f t="shared" si="509"/>
        <v>6.9928621806297216E-13</v>
      </c>
      <c r="Z681" s="682">
        <f t="shared" si="509"/>
        <v>4.3875235906534089E-13</v>
      </c>
      <c r="AA681" s="682">
        <f t="shared" si="509"/>
        <v>4.5548135048037049E-12</v>
      </c>
      <c r="AB681" s="682">
        <f t="shared" si="509"/>
        <v>4.5669393007948704E-12</v>
      </c>
      <c r="AC681" s="682">
        <f t="shared" si="509"/>
        <v>2.4631234692212121E-12</v>
      </c>
      <c r="AD681" s="682">
        <f t="shared" si="509"/>
        <v>7.1954834073644386E-12</v>
      </c>
      <c r="AE681" s="682">
        <f t="shared" si="509"/>
        <v>6.7060070355185336E-12</v>
      </c>
      <c r="AF681" s="682">
        <f t="shared" si="509"/>
        <v>5.7068341062418235E-12</v>
      </c>
      <c r="AG681" s="218"/>
    </row>
    <row r="682" spans="1:33" x14ac:dyDescent="0.2">
      <c r="A682" s="198" t="s">
        <v>569</v>
      </c>
      <c r="C682" s="680">
        <f t="shared" ref="C682:AF682" si="510">C681/(C127+C130)</f>
        <v>6.2631910420186468E-2</v>
      </c>
      <c r="D682" s="680">
        <f t="shared" si="510"/>
        <v>0.49974165208835492</v>
      </c>
      <c r="E682" s="680">
        <f t="shared" si="510"/>
        <v>0.25009128791327617</v>
      </c>
      <c r="F682" s="680">
        <f t="shared" si="510"/>
        <v>-0.1042307668449383</v>
      </c>
      <c r="G682" s="680">
        <f t="shared" si="510"/>
        <v>0.36623246881870319</v>
      </c>
      <c r="H682" s="680">
        <f t="shared" si="510"/>
        <v>0.38471324435890836</v>
      </c>
      <c r="I682" s="680">
        <f t="shared" si="510"/>
        <v>0.21908831042097296</v>
      </c>
      <c r="J682" s="680">
        <f t="shared" si="510"/>
        <v>0.33934729048366957</v>
      </c>
      <c r="K682" s="680">
        <f t="shared" si="510"/>
        <v>0.60029923528209461</v>
      </c>
      <c r="L682" s="680">
        <f t="shared" si="510"/>
        <v>0.59239804389180806</v>
      </c>
      <c r="M682" s="680">
        <f t="shared" si="510"/>
        <v>0.58992436324966613</v>
      </c>
      <c r="N682" s="680">
        <f t="shared" si="510"/>
        <v>0.62140625102235325</v>
      </c>
      <c r="O682" s="680">
        <f t="shared" si="510"/>
        <v>0.57307132634577862</v>
      </c>
      <c r="P682" s="680">
        <f t="shared" si="510"/>
        <v>0.60673991735190602</v>
      </c>
      <c r="Q682" s="680">
        <f t="shared" si="510"/>
        <v>0.52765219654646001</v>
      </c>
      <c r="R682" s="680">
        <f t="shared" si="510"/>
        <v>0.79310931207206958</v>
      </c>
      <c r="S682" s="680">
        <f t="shared" si="510"/>
        <v>0.89016566577576406</v>
      </c>
      <c r="T682" s="680">
        <f t="shared" si="510"/>
        <v>0.8464556939426513</v>
      </c>
      <c r="U682" s="680">
        <f t="shared" si="510"/>
        <v>1.086362399784329</v>
      </c>
      <c r="V682" s="680">
        <f t="shared" si="510"/>
        <v>0.81390362434615093</v>
      </c>
      <c r="W682" s="680">
        <f t="shared" si="510"/>
        <v>0.71389892413790845</v>
      </c>
      <c r="X682" s="680">
        <f t="shared" si="510"/>
        <v>0.59869236394355574</v>
      </c>
      <c r="Y682" s="680">
        <f t="shared" si="510"/>
        <v>0.66446388903139697</v>
      </c>
      <c r="Z682" s="680">
        <f t="shared" si="510"/>
        <v>0.46884516100874435</v>
      </c>
      <c r="AA682" s="680">
        <f t="shared" si="510"/>
        <v>0.4111550983863273</v>
      </c>
      <c r="AB682" s="680">
        <f t="shared" si="510"/>
        <v>0.33577596552833494</v>
      </c>
      <c r="AC682" s="680">
        <f t="shared" si="510"/>
        <v>0.387616067857803</v>
      </c>
      <c r="AD682" s="680">
        <f t="shared" si="510"/>
        <v>0.46202148489871164</v>
      </c>
      <c r="AE682" s="680">
        <f t="shared" si="510"/>
        <v>0.47757664111337406</v>
      </c>
      <c r="AF682" s="680">
        <f t="shared" si="510"/>
        <v>0.3994144814817957</v>
      </c>
      <c r="AG682" s="219"/>
    </row>
    <row r="683" spans="1:33" s="85" customFormat="1" x14ac:dyDescent="0.2">
      <c r="A683" s="198" t="s">
        <v>570</v>
      </c>
      <c r="B683" s="223"/>
      <c r="C683" s="86">
        <f t="shared" ref="C683:AF683" si="511">C679*C127</f>
        <v>1.7074512633745392E-14</v>
      </c>
      <c r="D683" s="86">
        <f t="shared" si="511"/>
        <v>1.0521644676596713E-15</v>
      </c>
      <c r="E683" s="86">
        <f t="shared" si="511"/>
        <v>2.1141721512778152E-15</v>
      </c>
      <c r="F683" s="86">
        <f t="shared" si="511"/>
        <v>3.0363232807490268E-15</v>
      </c>
      <c r="G683" s="86">
        <f t="shared" si="511"/>
        <v>4.6861415869559031E-15</v>
      </c>
      <c r="H683" s="86">
        <f t="shared" si="511"/>
        <v>2.1242302777707767E-15</v>
      </c>
      <c r="I683" s="86">
        <f t="shared" si="511"/>
        <v>3.2820842989813793E-15</v>
      </c>
      <c r="J683" s="86">
        <f t="shared" si="511"/>
        <v>2.7474383903993626E-15</v>
      </c>
      <c r="K683" s="86">
        <f t="shared" si="511"/>
        <v>7.2741774580364637E-14</v>
      </c>
      <c r="L683" s="86">
        <f t="shared" si="511"/>
        <v>5.1633330095471951E-14</v>
      </c>
      <c r="M683" s="86">
        <f t="shared" si="511"/>
        <v>4.7698112975777212E-14</v>
      </c>
      <c r="N683" s="86">
        <f t="shared" si="511"/>
        <v>7.4471100354354856E-14</v>
      </c>
      <c r="O683" s="86">
        <f t="shared" si="511"/>
        <v>1.9397082636554261E-14</v>
      </c>
      <c r="P683" s="86">
        <f t="shared" si="511"/>
        <v>4.0192664437594817E-14</v>
      </c>
      <c r="Q683" s="86">
        <f t="shared" si="511"/>
        <v>7.7792217512036115E-15</v>
      </c>
      <c r="R683" s="86">
        <f t="shared" si="511"/>
        <v>7.692216058053672E-15</v>
      </c>
      <c r="S683" s="86">
        <f t="shared" si="511"/>
        <v>7.4180080124754285E-15</v>
      </c>
      <c r="T683" s="86">
        <f t="shared" si="511"/>
        <v>6.5798476677060085E-15</v>
      </c>
      <c r="U683" s="86">
        <f t="shared" si="511"/>
        <v>3.7065746936239849E-15</v>
      </c>
      <c r="V683" s="86">
        <f t="shared" si="511"/>
        <v>1.9162508896005896E-15</v>
      </c>
      <c r="W683" s="86">
        <f t="shared" si="511"/>
        <v>1.6546140531970396E-15</v>
      </c>
      <c r="X683" s="86">
        <f t="shared" si="511"/>
        <v>7.039215705542547E-15</v>
      </c>
      <c r="Y683" s="86">
        <f t="shared" si="511"/>
        <v>4.6192880122634783E-15</v>
      </c>
      <c r="Z683" s="86">
        <f t="shared" si="511"/>
        <v>4.0981444032856135E-15</v>
      </c>
      <c r="AA683" s="86">
        <f t="shared" si="511"/>
        <v>5.3940347286447425E-12</v>
      </c>
      <c r="AB683" s="86">
        <f t="shared" si="511"/>
        <v>6.6400360271877996E-12</v>
      </c>
      <c r="AC683" s="86">
        <f t="shared" si="511"/>
        <v>3.1007531733244559E-12</v>
      </c>
      <c r="AD683" s="86">
        <f t="shared" si="511"/>
        <v>7.6027034860043851E-12</v>
      </c>
      <c r="AE683" s="86">
        <f t="shared" si="511"/>
        <v>6.8399456615394459E-12</v>
      </c>
      <c r="AF683" s="86">
        <f t="shared" si="511"/>
        <v>6.9741134351009117E-12</v>
      </c>
      <c r="AG683" s="86"/>
    </row>
    <row r="684" spans="1:33" x14ac:dyDescent="0.2">
      <c r="A684" s="198" t="s">
        <v>571</v>
      </c>
      <c r="C684" s="680">
        <f t="shared" ref="C684:AF684" si="512">C690-((C$242/C$244)*(C676*C674-1))</f>
        <v>1.2881746434560566E-2</v>
      </c>
      <c r="D684" s="680">
        <f t="shared" si="512"/>
        <v>1.3940896708129098E-2</v>
      </c>
      <c r="E684" s="680">
        <f t="shared" si="512"/>
        <v>1.39864900845026E-2</v>
      </c>
      <c r="F684" s="680">
        <f t="shared" si="512"/>
        <v>1.2069888502498342E-2</v>
      </c>
      <c r="G684" s="680">
        <f t="shared" si="512"/>
        <v>1.4424690920665095E-2</v>
      </c>
      <c r="H684" s="680">
        <f t="shared" si="512"/>
        <v>1.4858890083390064E-2</v>
      </c>
      <c r="I684" s="680">
        <f t="shared" si="512"/>
        <v>1.3542573842664673E-2</v>
      </c>
      <c r="J684" s="680">
        <f t="shared" si="512"/>
        <v>1.3962492787955754E-2</v>
      </c>
      <c r="K684" s="680">
        <f t="shared" si="512"/>
        <v>6.9416493949732393E-3</v>
      </c>
      <c r="L684" s="680">
        <f t="shared" si="512"/>
        <v>6.9404024479669153E-3</v>
      </c>
      <c r="M684" s="680">
        <f t="shared" si="512"/>
        <v>6.9399654224771897E-3</v>
      </c>
      <c r="N684" s="680">
        <f t="shared" si="512"/>
        <v>6.9398968525109421E-3</v>
      </c>
      <c r="O684" s="680">
        <f t="shared" si="512"/>
        <v>6.9366461211466538E-3</v>
      </c>
      <c r="P684" s="680">
        <f t="shared" si="512"/>
        <v>6.938140574482555E-3</v>
      </c>
      <c r="Q684" s="680">
        <f t="shared" si="512"/>
        <v>6.9285128473670762E-3</v>
      </c>
      <c r="R684" s="680">
        <f t="shared" si="512"/>
        <v>4.4303428167556617E-3</v>
      </c>
      <c r="S684" s="680">
        <f t="shared" si="512"/>
        <v>4.4300644912953465E-3</v>
      </c>
      <c r="T684" s="680">
        <f t="shared" si="512"/>
        <v>4.4074705912743343E-3</v>
      </c>
      <c r="U684" s="680">
        <f t="shared" si="512"/>
        <v>4.4068164813380823E-3</v>
      </c>
      <c r="V684" s="680">
        <f t="shared" si="512"/>
        <v>4.3909287006523414E-3</v>
      </c>
      <c r="W684" s="680">
        <f t="shared" si="512"/>
        <v>4.3908290822692641E-3</v>
      </c>
      <c r="X684" s="680">
        <f t="shared" si="512"/>
        <v>4.4432238191768917E-3</v>
      </c>
      <c r="Y684" s="680">
        <f t="shared" si="512"/>
        <v>4.4214579428414674E-3</v>
      </c>
      <c r="Z684" s="680">
        <f t="shared" si="512"/>
        <v>4.4102482884234486E-3</v>
      </c>
      <c r="AA684" s="680">
        <f t="shared" si="512"/>
        <v>0.49044048277507019</v>
      </c>
      <c r="AB684" s="680">
        <f t="shared" si="512"/>
        <v>0.49173590890573865</v>
      </c>
      <c r="AC684" s="680">
        <f t="shared" si="512"/>
        <v>0.49149619933615879</v>
      </c>
      <c r="AD684" s="680">
        <f t="shared" si="512"/>
        <v>0.4917088173256895</v>
      </c>
      <c r="AE684" s="680">
        <f t="shared" si="512"/>
        <v>0.49064745140199373</v>
      </c>
      <c r="AF684" s="680">
        <f t="shared" si="512"/>
        <v>0.49164882152966494</v>
      </c>
      <c r="AG684" s="217"/>
    </row>
    <row r="685" spans="1:33" s="45" customFormat="1" x14ac:dyDescent="0.2">
      <c r="A685" s="46" t="s">
        <v>572</v>
      </c>
      <c r="B685" s="44"/>
      <c r="C685" s="681">
        <f t="shared" ref="C685:AF685" si="513">(1/C$242)*LN(C684+1)/1000000</f>
        <v>82.510765220932356</v>
      </c>
      <c r="D685" s="681">
        <f t="shared" si="513"/>
        <v>89.248130218423114</v>
      </c>
      <c r="E685" s="681">
        <f t="shared" si="513"/>
        <v>89.537996403995436</v>
      </c>
      <c r="F685" s="681">
        <f t="shared" si="513"/>
        <v>77.34168100457083</v>
      </c>
      <c r="G685" s="681">
        <f t="shared" si="513"/>
        <v>92.323254299680855</v>
      </c>
      <c r="H685" s="681">
        <f t="shared" si="513"/>
        <v>95.081890607950086</v>
      </c>
      <c r="I685" s="681">
        <f t="shared" si="513"/>
        <v>86.715183105095562</v>
      </c>
      <c r="J685" s="681">
        <f t="shared" si="513"/>
        <v>89.385431902516075</v>
      </c>
      <c r="K685" s="681">
        <f t="shared" si="513"/>
        <v>44.594147090754795</v>
      </c>
      <c r="L685" s="681">
        <f t="shared" si="513"/>
        <v>44.586164163593281</v>
      </c>
      <c r="M685" s="681">
        <f t="shared" si="513"/>
        <v>44.583366333731767</v>
      </c>
      <c r="N685" s="681">
        <f t="shared" si="513"/>
        <v>44.582927349847445</v>
      </c>
      <c r="O685" s="681">
        <f t="shared" si="513"/>
        <v>44.562116182606566</v>
      </c>
      <c r="P685" s="681">
        <f t="shared" si="513"/>
        <v>44.571683674332611</v>
      </c>
      <c r="Q685" s="681">
        <f t="shared" si="513"/>
        <v>44.510046706945353</v>
      </c>
      <c r="R685" s="681">
        <f t="shared" si="513"/>
        <v>28.496746096429668</v>
      </c>
      <c r="S685" s="681">
        <f t="shared" si="513"/>
        <v>28.494959808853316</v>
      </c>
      <c r="T685" s="681">
        <f t="shared" si="513"/>
        <v>28.349950931842137</v>
      </c>
      <c r="U685" s="681">
        <f t="shared" si="513"/>
        <v>28.345752770172297</v>
      </c>
      <c r="V685" s="681">
        <f t="shared" si="513"/>
        <v>28.243782111371477</v>
      </c>
      <c r="W685" s="681">
        <f t="shared" si="513"/>
        <v>28.24314273742743</v>
      </c>
      <c r="X685" s="681">
        <f t="shared" si="513"/>
        <v>28.57941558650521</v>
      </c>
      <c r="Y685" s="681">
        <f t="shared" si="513"/>
        <v>28.439722898217472</v>
      </c>
      <c r="Z685" s="681">
        <f t="shared" si="513"/>
        <v>28.367778518811708</v>
      </c>
      <c r="AA685" s="681">
        <f t="shared" si="513"/>
        <v>2572.5814813353231</v>
      </c>
      <c r="AB685" s="681">
        <f t="shared" si="513"/>
        <v>2578.1819910363379</v>
      </c>
      <c r="AC685" s="681">
        <f t="shared" si="513"/>
        <v>2577.1460225858882</v>
      </c>
      <c r="AD685" s="681">
        <f t="shared" si="513"/>
        <v>2578.0649159356567</v>
      </c>
      <c r="AE685" s="681">
        <f t="shared" si="513"/>
        <v>2573.4765944775418</v>
      </c>
      <c r="AF685" s="681">
        <f t="shared" si="513"/>
        <v>2577.8056391091877</v>
      </c>
      <c r="AG685" s="218"/>
    </row>
    <row r="686" spans="1:33" s="45" customFormat="1" x14ac:dyDescent="0.2">
      <c r="A686" s="46" t="s">
        <v>573</v>
      </c>
      <c r="B686" s="44"/>
      <c r="C686" s="682">
        <f>C139/(EXP(C36*1000000*C$243)-1)</f>
        <v>8.3599906877735006E-14</v>
      </c>
      <c r="D686" s="682">
        <f>D139/(EXP(D36*1000000*D$243)-1)</f>
        <v>3.7989129280484698E-14</v>
      </c>
      <c r="E686" s="682">
        <f t="shared" ref="E686:AF686" si="514">E139/(EXP(E36*1000000*E$243)-1)</f>
        <v>3.8072159111673761E-14</v>
      </c>
      <c r="F686" s="682">
        <f t="shared" si="514"/>
        <v>-2.6401988890077498E-14</v>
      </c>
      <c r="G686" s="682">
        <f t="shared" si="514"/>
        <v>1.1982973253083115E-13</v>
      </c>
      <c r="H686" s="682">
        <f t="shared" si="514"/>
        <v>5.5393066983299772E-14</v>
      </c>
      <c r="I686" s="682">
        <f t="shared" si="514"/>
        <v>5.3473359563245411E-14</v>
      </c>
      <c r="J686" s="682">
        <f t="shared" si="514"/>
        <v>6.7251539364340784E-14</v>
      </c>
      <c r="K686" s="682">
        <f t="shared" si="514"/>
        <v>6.3361805706989957E-12</v>
      </c>
      <c r="L686" s="682">
        <f t="shared" si="514"/>
        <v>4.4390992520950238E-12</v>
      </c>
      <c r="M686" s="682">
        <f t="shared" si="514"/>
        <v>4.0839001111486454E-12</v>
      </c>
      <c r="N686" s="682">
        <f t="shared" si="514"/>
        <v>6.7167060052230547E-12</v>
      </c>
      <c r="O686" s="682">
        <f t="shared" si="514"/>
        <v>1.6140779625038624E-12</v>
      </c>
      <c r="P686" s="682">
        <f t="shared" si="514"/>
        <v>3.540357152478862E-12</v>
      </c>
      <c r="Q686" s="682">
        <f t="shared" si="514"/>
        <v>5.9670105659844284E-13</v>
      </c>
      <c r="R686" s="682">
        <f t="shared" si="514"/>
        <v>1.3873693306344502E-12</v>
      </c>
      <c r="S686" s="682">
        <f t="shared" si="514"/>
        <v>1.5019190225101825E-12</v>
      </c>
      <c r="T686" s="682">
        <f t="shared" si="514"/>
        <v>1.2732264948682717E-12</v>
      </c>
      <c r="U686" s="682">
        <f t="shared" si="514"/>
        <v>9.2093838929172712E-13</v>
      </c>
      <c r="V686" s="682">
        <f t="shared" si="514"/>
        <v>3.5787090446606458E-13</v>
      </c>
      <c r="W686" s="682">
        <f t="shared" si="514"/>
        <v>2.71012108208928E-13</v>
      </c>
      <c r="X686" s="682">
        <f t="shared" si="514"/>
        <v>9.55361017508613E-13</v>
      </c>
      <c r="Y686" s="682">
        <f t="shared" si="514"/>
        <v>6.9928621806297216E-13</v>
      </c>
      <c r="Z686" s="682">
        <f t="shared" si="514"/>
        <v>4.3875235906534089E-13</v>
      </c>
      <c r="AA686" s="682">
        <f t="shared" si="514"/>
        <v>4.5548135048037049E-12</v>
      </c>
      <c r="AB686" s="682">
        <f t="shared" si="514"/>
        <v>4.5669393007948704E-12</v>
      </c>
      <c r="AC686" s="682">
        <f t="shared" si="514"/>
        <v>2.4631234692212121E-12</v>
      </c>
      <c r="AD686" s="682">
        <f t="shared" si="514"/>
        <v>7.1954834073644386E-12</v>
      </c>
      <c r="AE686" s="682">
        <f t="shared" si="514"/>
        <v>6.7060070355185336E-12</v>
      </c>
      <c r="AF686" s="682">
        <f t="shared" si="514"/>
        <v>5.7068341062418235E-12</v>
      </c>
      <c r="AG686" s="218"/>
    </row>
    <row r="687" spans="1:33" x14ac:dyDescent="0.2">
      <c r="A687" s="198" t="s">
        <v>574</v>
      </c>
      <c r="C687" s="680">
        <f t="shared" ref="C687:AF687" si="515">C686/(C127+C130)</f>
        <v>6.2631910420186468E-2</v>
      </c>
      <c r="D687" s="680">
        <f t="shared" si="515"/>
        <v>0.49974165208835492</v>
      </c>
      <c r="E687" s="680">
        <f t="shared" si="515"/>
        <v>0.25009128791327617</v>
      </c>
      <c r="F687" s="680">
        <f t="shared" si="515"/>
        <v>-0.1042307668449383</v>
      </c>
      <c r="G687" s="680">
        <f t="shared" si="515"/>
        <v>0.36623246881870319</v>
      </c>
      <c r="H687" s="680">
        <f t="shared" si="515"/>
        <v>0.38471324435890836</v>
      </c>
      <c r="I687" s="680">
        <f t="shared" si="515"/>
        <v>0.21908831042097296</v>
      </c>
      <c r="J687" s="680">
        <f t="shared" si="515"/>
        <v>0.33934729048366957</v>
      </c>
      <c r="K687" s="680">
        <f t="shared" si="515"/>
        <v>0.60029923528209461</v>
      </c>
      <c r="L687" s="680">
        <f t="shared" si="515"/>
        <v>0.59239804389180806</v>
      </c>
      <c r="M687" s="680">
        <f t="shared" si="515"/>
        <v>0.58992436324966613</v>
      </c>
      <c r="N687" s="680">
        <f t="shared" si="515"/>
        <v>0.62140625102235325</v>
      </c>
      <c r="O687" s="680">
        <f t="shared" si="515"/>
        <v>0.57307132634577862</v>
      </c>
      <c r="P687" s="680">
        <f t="shared" si="515"/>
        <v>0.60673991735190602</v>
      </c>
      <c r="Q687" s="680">
        <f t="shared" si="515"/>
        <v>0.52765219654646001</v>
      </c>
      <c r="R687" s="680">
        <f t="shared" si="515"/>
        <v>0.79310931207206958</v>
      </c>
      <c r="S687" s="680">
        <f t="shared" si="515"/>
        <v>0.89016566577576406</v>
      </c>
      <c r="T687" s="680">
        <f t="shared" si="515"/>
        <v>0.8464556939426513</v>
      </c>
      <c r="U687" s="680">
        <f t="shared" si="515"/>
        <v>1.086362399784329</v>
      </c>
      <c r="V687" s="680">
        <f t="shared" si="515"/>
        <v>0.81390362434615093</v>
      </c>
      <c r="W687" s="680">
        <f t="shared" si="515"/>
        <v>0.71389892413790845</v>
      </c>
      <c r="X687" s="680">
        <f t="shared" si="515"/>
        <v>0.59869236394355574</v>
      </c>
      <c r="Y687" s="680">
        <f t="shared" si="515"/>
        <v>0.66446388903139697</v>
      </c>
      <c r="Z687" s="680">
        <f t="shared" si="515"/>
        <v>0.46884516100874435</v>
      </c>
      <c r="AA687" s="680">
        <f t="shared" si="515"/>
        <v>0.4111550983863273</v>
      </c>
      <c r="AB687" s="680">
        <f t="shared" si="515"/>
        <v>0.33577596552833494</v>
      </c>
      <c r="AC687" s="680">
        <f t="shared" si="515"/>
        <v>0.387616067857803</v>
      </c>
      <c r="AD687" s="680">
        <f t="shared" si="515"/>
        <v>0.46202148489871164</v>
      </c>
      <c r="AE687" s="680">
        <f t="shared" si="515"/>
        <v>0.47757664111337406</v>
      </c>
      <c r="AF687" s="680">
        <f t="shared" si="515"/>
        <v>0.3994144814817957</v>
      </c>
      <c r="AG687" s="219"/>
    </row>
    <row r="688" spans="1:33" s="85" customFormat="1" x14ac:dyDescent="0.2">
      <c r="A688" s="198" t="s">
        <v>575</v>
      </c>
      <c r="B688" s="223"/>
      <c r="C688" s="86">
        <f t="shared" ref="C688:AF688" si="516">C684*C127</f>
        <v>1.7070508096095868E-14</v>
      </c>
      <c r="D688" s="86">
        <f t="shared" si="516"/>
        <v>1.0521219171556913E-15</v>
      </c>
      <c r="E688" s="86">
        <f t="shared" si="516"/>
        <v>2.1138747559970572E-15</v>
      </c>
      <c r="F688" s="86">
        <f t="shared" si="516"/>
        <v>3.0353273570224659E-15</v>
      </c>
      <c r="G688" s="86">
        <f t="shared" si="516"/>
        <v>4.6857145530992201E-15</v>
      </c>
      <c r="H688" s="86">
        <f t="shared" si="516"/>
        <v>2.1240572140805279E-15</v>
      </c>
      <c r="I688" s="86">
        <f t="shared" si="516"/>
        <v>3.2815652445083932E-15</v>
      </c>
      <c r="J688" s="86">
        <f t="shared" si="516"/>
        <v>2.7471499935837936E-15</v>
      </c>
      <c r="K688" s="86">
        <f t="shared" si="516"/>
        <v>7.2741792214043491E-14</v>
      </c>
      <c r="L688" s="86">
        <f t="shared" si="516"/>
        <v>5.1633012058968259E-14</v>
      </c>
      <c r="M688" s="86">
        <f t="shared" si="516"/>
        <v>4.7697723552727536E-14</v>
      </c>
      <c r="N688" s="86">
        <f t="shared" si="516"/>
        <v>7.4472392143731425E-14</v>
      </c>
      <c r="O688" s="86">
        <f t="shared" si="516"/>
        <v>1.9396659187501947E-14</v>
      </c>
      <c r="P688" s="86">
        <f t="shared" si="516"/>
        <v>4.0192884005800143E-14</v>
      </c>
      <c r="Q688" s="86">
        <f t="shared" si="516"/>
        <v>7.778764973623228E-15</v>
      </c>
      <c r="R688" s="86">
        <f t="shared" si="516"/>
        <v>7.694102018718522E-15</v>
      </c>
      <c r="S688" s="86">
        <f t="shared" si="516"/>
        <v>7.4207413425155296E-15</v>
      </c>
      <c r="T688" s="86">
        <f t="shared" si="516"/>
        <v>6.5819173832722691E-15</v>
      </c>
      <c r="U688" s="86">
        <f t="shared" si="516"/>
        <v>3.7088765923730335E-15</v>
      </c>
      <c r="V688" s="86">
        <f t="shared" si="516"/>
        <v>1.9167759894876339E-15</v>
      </c>
      <c r="W688" s="86">
        <f t="shared" si="516"/>
        <v>1.6548554558074915E-15</v>
      </c>
      <c r="X688" s="86">
        <f t="shared" si="516"/>
        <v>7.0392040556731206E-15</v>
      </c>
      <c r="Y688" s="86">
        <f t="shared" si="516"/>
        <v>4.6196667778040891E-15</v>
      </c>
      <c r="Z688" s="86">
        <f t="shared" si="516"/>
        <v>4.0974591601111334E-15</v>
      </c>
      <c r="AA688" s="86">
        <f t="shared" si="516"/>
        <v>5.3940230487062122E-12</v>
      </c>
      <c r="AB688" s="86">
        <f t="shared" si="516"/>
        <v>6.640015963150546E-12</v>
      </c>
      <c r="AC688" s="86">
        <f t="shared" si="516"/>
        <v>3.1007456384427056E-12</v>
      </c>
      <c r="AD688" s="86">
        <f t="shared" si="516"/>
        <v>7.6026914888114139E-12</v>
      </c>
      <c r="AE688" s="86">
        <f t="shared" si="516"/>
        <v>6.8399360640953299E-12</v>
      </c>
      <c r="AF688" s="86">
        <f t="shared" si="516"/>
        <v>6.9740974343122269E-12</v>
      </c>
      <c r="AG688" s="86"/>
    </row>
    <row r="689" spans="1:33" x14ac:dyDescent="0.2">
      <c r="A689" s="521" t="s">
        <v>9</v>
      </c>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c r="AA689" s="28"/>
      <c r="AB689" s="28"/>
      <c r="AC689" s="28"/>
      <c r="AD689" s="28"/>
      <c r="AE689" s="28"/>
      <c r="AF689" s="28"/>
    </row>
    <row r="690" spans="1:33" x14ac:dyDescent="0.2">
      <c r="A690" s="198" t="s">
        <v>436</v>
      </c>
      <c r="C690" s="205">
        <f>C71</f>
        <v>1.2868249969090202E-2</v>
      </c>
      <c r="D690" s="205">
        <f t="shared" ref="D690:AF690" si="517">D71</f>
        <v>1.3927400242658735E-2</v>
      </c>
      <c r="E690" s="205">
        <f t="shared" si="517"/>
        <v>1.3972993619032236E-2</v>
      </c>
      <c r="F690" s="205">
        <f t="shared" si="517"/>
        <v>1.2056392037027979E-2</v>
      </c>
      <c r="G690" s="205">
        <f t="shared" si="517"/>
        <v>1.4411194455194731E-2</v>
      </c>
      <c r="H690" s="205">
        <f t="shared" si="517"/>
        <v>1.48453936179197E-2</v>
      </c>
      <c r="I690" s="205">
        <f t="shared" si="517"/>
        <v>1.3529077377194309E-2</v>
      </c>
      <c r="J690" s="205">
        <f t="shared" si="517"/>
        <v>1.3948996322485391E-2</v>
      </c>
      <c r="K690" s="205">
        <f t="shared" si="517"/>
        <v>6.9281529295028748E-3</v>
      </c>
      <c r="L690" s="205">
        <f t="shared" si="517"/>
        <v>6.9269059824965508E-3</v>
      </c>
      <c r="M690" s="205">
        <f t="shared" si="517"/>
        <v>6.9264689570068252E-3</v>
      </c>
      <c r="N690" s="205">
        <f t="shared" si="517"/>
        <v>6.9264003870405776E-3</v>
      </c>
      <c r="O690" s="205">
        <f t="shared" si="517"/>
        <v>6.9231496556762893E-3</v>
      </c>
      <c r="P690" s="205">
        <f t="shared" si="517"/>
        <v>6.9246441090121905E-3</v>
      </c>
      <c r="Q690" s="205">
        <f t="shared" si="517"/>
        <v>6.9150163818967117E-3</v>
      </c>
      <c r="R690" s="205">
        <f t="shared" si="517"/>
        <v>4.4168463512852972E-3</v>
      </c>
      <c r="S690" s="205">
        <f t="shared" si="517"/>
        <v>4.416568025824982E-3</v>
      </c>
      <c r="T690" s="205">
        <f t="shared" si="517"/>
        <v>4.3939741258039698E-3</v>
      </c>
      <c r="U690" s="205">
        <f t="shared" si="517"/>
        <v>4.3933200158677178E-3</v>
      </c>
      <c r="V690" s="205">
        <f t="shared" si="517"/>
        <v>4.3774322351819769E-3</v>
      </c>
      <c r="W690" s="205">
        <f t="shared" si="517"/>
        <v>4.3773326167988996E-3</v>
      </c>
      <c r="X690" s="205">
        <f t="shared" si="517"/>
        <v>4.4297273537065272E-3</v>
      </c>
      <c r="Y690" s="205">
        <f t="shared" si="517"/>
        <v>4.4079614773711029E-3</v>
      </c>
      <c r="Z690" s="205">
        <f t="shared" si="517"/>
        <v>4.3967518229530841E-3</v>
      </c>
      <c r="AA690" s="205">
        <f t="shared" si="517"/>
        <v>0.4904269863095998</v>
      </c>
      <c r="AB690" s="205">
        <f t="shared" si="517"/>
        <v>0.49172241244026826</v>
      </c>
      <c r="AC690" s="205">
        <f t="shared" si="517"/>
        <v>0.4914827028706884</v>
      </c>
      <c r="AD690" s="205">
        <f t="shared" si="517"/>
        <v>0.49169532086021911</v>
      </c>
      <c r="AE690" s="205">
        <f t="shared" si="517"/>
        <v>0.49063395493652334</v>
      </c>
      <c r="AF690" s="205">
        <f t="shared" si="517"/>
        <v>0.49163532506419455</v>
      </c>
      <c r="AG690" s="217"/>
    </row>
    <row r="691" spans="1:33" s="45" customFormat="1" x14ac:dyDescent="0.2">
      <c r="A691" s="46" t="s">
        <v>217</v>
      </c>
      <c r="B691" s="44"/>
      <c r="C691" s="516">
        <f>C38</f>
        <v>82.424867349455553</v>
      </c>
      <c r="D691" s="516">
        <f t="shared" ref="D691:AF691" si="518">D38</f>
        <v>89.162322075410628</v>
      </c>
      <c r="E691" s="516">
        <f t="shared" si="518"/>
        <v>89.452192119327265</v>
      </c>
      <c r="F691" s="516">
        <f t="shared" si="518"/>
        <v>77.255714227444216</v>
      </c>
      <c r="G691" s="516">
        <f t="shared" si="518"/>
        <v>92.237487080119379</v>
      </c>
      <c r="H691" s="516">
        <f t="shared" si="518"/>
        <v>94.996160083443399</v>
      </c>
      <c r="I691" s="516">
        <f t="shared" si="518"/>
        <v>86.629341239204692</v>
      </c>
      <c r="J691" s="516">
        <f t="shared" si="518"/>
        <v>89.299625587117404</v>
      </c>
      <c r="K691" s="516">
        <f t="shared" si="518"/>
        <v>44.50774249169163</v>
      </c>
      <c r="L691" s="516">
        <f t="shared" si="518"/>
        <v>44.499759457530075</v>
      </c>
      <c r="M691" s="516">
        <f t="shared" si="518"/>
        <v>44.496961590167508</v>
      </c>
      <c r="N691" s="516">
        <f t="shared" si="518"/>
        <v>44.496522600399203</v>
      </c>
      <c r="O691" s="516">
        <f t="shared" si="518"/>
        <v>44.47571115421276</v>
      </c>
      <c r="P691" s="516">
        <f t="shared" si="518"/>
        <v>44.485278774178212</v>
      </c>
      <c r="Q691" s="516">
        <f t="shared" si="518"/>
        <v>44.423640980626665</v>
      </c>
      <c r="R691" s="516">
        <f t="shared" si="518"/>
        <v>28.410125464570001</v>
      </c>
      <c r="S691" s="516">
        <f t="shared" si="518"/>
        <v>28.408339152991093</v>
      </c>
      <c r="T691" s="516">
        <f t="shared" si="518"/>
        <v>28.263328327454964</v>
      </c>
      <c r="U691" s="516">
        <f t="shared" si="518"/>
        <v>28.259130109374059</v>
      </c>
      <c r="V691" s="516">
        <f t="shared" si="518"/>
        <v>28.15715808033876</v>
      </c>
      <c r="W691" s="516">
        <f t="shared" si="518"/>
        <v>28.15651869780303</v>
      </c>
      <c r="X691" s="516">
        <f t="shared" si="518"/>
        <v>28.492796065477929</v>
      </c>
      <c r="Y691" s="516">
        <f t="shared" si="518"/>
        <v>28.353101500127096</v>
      </c>
      <c r="Z691" s="516">
        <f t="shared" si="518"/>
        <v>28.28115615398243</v>
      </c>
      <c r="AA691" s="516">
        <f t="shared" si="518"/>
        <v>2572.5231065116727</v>
      </c>
      <c r="AB691" s="516">
        <f t="shared" si="518"/>
        <v>2578.1236669057175</v>
      </c>
      <c r="AC691" s="516">
        <f t="shared" si="518"/>
        <v>2577.0876890815152</v>
      </c>
      <c r="AD691" s="516">
        <f t="shared" si="518"/>
        <v>2578.0065907457811</v>
      </c>
      <c r="AE691" s="516">
        <f t="shared" si="518"/>
        <v>2573.4182277589675</v>
      </c>
      <c r="AF691" s="516">
        <f t="shared" si="518"/>
        <v>2577.7473115733969</v>
      </c>
      <c r="AG691" s="218"/>
    </row>
    <row r="692" spans="1:33" s="45" customFormat="1" x14ac:dyDescent="0.2">
      <c r="A692" s="46" t="s">
        <v>24</v>
      </c>
      <c r="B692" s="44"/>
      <c r="C692" s="499">
        <f>C$139/(EXP(C38*1000000*C$243)-1)</f>
        <v>8.4734749151310292E-14</v>
      </c>
      <c r="D692" s="499">
        <f t="shared" ref="D692:AF692" si="519">D$139/(EXP(D38*1000000*D$243)-1)</f>
        <v>1.4547319892307301E-14</v>
      </c>
      <c r="E692" s="499">
        <f t="shared" si="519"/>
        <v>3.4398376019742152E-14</v>
      </c>
      <c r="F692" s="499">
        <f t="shared" si="519"/>
        <v>-2.7244723789454306E-14</v>
      </c>
      <c r="G692" s="499">
        <f t="shared" si="519"/>
        <v>7.7784565082922006E-14</v>
      </c>
      <c r="H692" s="499">
        <f t="shared" si="519"/>
        <v>5.5649477800784741E-14</v>
      </c>
      <c r="I692" s="499">
        <f t="shared" si="519"/>
        <v>5.0731346769720589E-14</v>
      </c>
      <c r="J692" s="499">
        <f t="shared" si="519"/>
        <v>7.6929915687725923E-14</v>
      </c>
      <c r="K692" s="499">
        <f t="shared" si="519"/>
        <v>6.3657384549852764E-12</v>
      </c>
      <c r="L692" s="499">
        <f t="shared" si="519"/>
        <v>4.4605737572600616E-12</v>
      </c>
      <c r="M692" s="499">
        <f t="shared" si="519"/>
        <v>4.1020913536497732E-12</v>
      </c>
      <c r="N692" s="499">
        <f t="shared" si="519"/>
        <v>6.7415216826980961E-12</v>
      </c>
      <c r="O692" s="499">
        <f t="shared" si="519"/>
        <v>1.6191641605180927E-12</v>
      </c>
      <c r="P692" s="499">
        <f t="shared" si="519"/>
        <v>3.5403188460645676E-12</v>
      </c>
      <c r="Q692" s="499">
        <f t="shared" si="519"/>
        <v>5.9039844964207071E-13</v>
      </c>
      <c r="R692" s="499">
        <f t="shared" si="519"/>
        <v>1.3536466488473861E-12</v>
      </c>
      <c r="S692" s="499">
        <f t="shared" si="519"/>
        <v>1.4760216060923301E-12</v>
      </c>
      <c r="T692" s="499">
        <f t="shared" si="519"/>
        <v>1.2614037124570203E-12</v>
      </c>
      <c r="U692" s="499">
        <f t="shared" si="519"/>
        <v>9.1854637033676858E-13</v>
      </c>
      <c r="V692" s="499">
        <f t="shared" si="519"/>
        <v>3.4153927349644653E-13</v>
      </c>
      <c r="W692" s="499">
        <f t="shared" si="519"/>
        <v>2.5986756294219709E-13</v>
      </c>
      <c r="X692" s="499">
        <f t="shared" si="519"/>
        <v>9.6064373639617591E-13</v>
      </c>
      <c r="Y692" s="499">
        <f t="shared" si="519"/>
        <v>7.0400007179121057E-13</v>
      </c>
      <c r="Z692" s="499">
        <f t="shared" si="519"/>
        <v>4.3362341043141746E-13</v>
      </c>
      <c r="AA692" s="499">
        <f t="shared" si="519"/>
        <v>4.5647221293957205E-12</v>
      </c>
      <c r="AB692" s="499">
        <f t="shared" si="519"/>
        <v>4.5725167469965845E-12</v>
      </c>
      <c r="AC692" s="499">
        <f t="shared" si="519"/>
        <v>2.4667765275150525E-12</v>
      </c>
      <c r="AD692" s="499">
        <f t="shared" si="519"/>
        <v>7.2051938665719356E-12</v>
      </c>
      <c r="AE692" s="499">
        <f t="shared" si="519"/>
        <v>6.7189668552733816E-12</v>
      </c>
      <c r="AF692" s="499">
        <f t="shared" si="519"/>
        <v>5.7148178783442723E-12</v>
      </c>
      <c r="AG692" s="218"/>
    </row>
    <row r="693" spans="1:33" x14ac:dyDescent="0.2">
      <c r="A693" s="198" t="s">
        <v>374</v>
      </c>
      <c r="C693" s="205">
        <f t="shared" ref="C693:AF693" si="520">C692/(C127+C130)</f>
        <v>6.3482118778953642E-2</v>
      </c>
      <c r="D693" s="205">
        <f t="shared" si="520"/>
        <v>0.19136794693986428</v>
      </c>
      <c r="E693" s="205">
        <f t="shared" si="520"/>
        <v>0.22595866275061563</v>
      </c>
      <c r="F693" s="205">
        <f t="shared" si="520"/>
        <v>-0.10755774744381466</v>
      </c>
      <c r="G693" s="205">
        <f t="shared" si="520"/>
        <v>0.23773092624552181</v>
      </c>
      <c r="H693" s="205">
        <f t="shared" si="520"/>
        <v>0.38649405634234851</v>
      </c>
      <c r="I693" s="205">
        <f t="shared" si="520"/>
        <v>0.20785387602237268</v>
      </c>
      <c r="J693" s="205">
        <f t="shared" si="520"/>
        <v>0.38818380504772904</v>
      </c>
      <c r="K693" s="205">
        <f t="shared" si="520"/>
        <v>0.60309959350036646</v>
      </c>
      <c r="L693" s="205">
        <f t="shared" si="520"/>
        <v>0.59526381780918758</v>
      </c>
      <c r="M693" s="205">
        <f t="shared" si="520"/>
        <v>0.59255211046608369</v>
      </c>
      <c r="N693" s="205">
        <f t="shared" si="520"/>
        <v>0.62370211109042151</v>
      </c>
      <c r="O693" s="205">
        <f t="shared" si="520"/>
        <v>0.57487715872177525</v>
      </c>
      <c r="P693" s="205">
        <f t="shared" si="520"/>
        <v>0.60673335246886118</v>
      </c>
      <c r="Q693" s="205">
        <f t="shared" si="520"/>
        <v>0.52207891262526729</v>
      </c>
      <c r="R693" s="205">
        <f t="shared" si="520"/>
        <v>0.77383126378111244</v>
      </c>
      <c r="S693" s="205">
        <f t="shared" si="520"/>
        <v>0.87481664190566166</v>
      </c>
      <c r="T693" s="205">
        <f t="shared" si="520"/>
        <v>0.83859577150891018</v>
      </c>
      <c r="U693" s="205">
        <f t="shared" si="520"/>
        <v>1.0835407132497532</v>
      </c>
      <c r="V693" s="205">
        <f t="shared" si="520"/>
        <v>0.77676069522904956</v>
      </c>
      <c r="W693" s="205">
        <f t="shared" si="520"/>
        <v>0.68454201116266999</v>
      </c>
      <c r="X693" s="205">
        <f t="shared" si="520"/>
        <v>0.60200286479180265</v>
      </c>
      <c r="Y693" s="205">
        <f t="shared" si="520"/>
        <v>0.66894300716598087</v>
      </c>
      <c r="Z693" s="205">
        <f t="shared" si="520"/>
        <v>0.46336443207728056</v>
      </c>
      <c r="AA693" s="205">
        <f t="shared" si="520"/>
        <v>0.41204953270613132</v>
      </c>
      <c r="AB693" s="205">
        <f t="shared" si="520"/>
        <v>0.33618603718907214</v>
      </c>
      <c r="AC693" s="205">
        <f t="shared" si="520"/>
        <v>0.38819094122862979</v>
      </c>
      <c r="AD693" s="205">
        <f t="shared" si="520"/>
        <v>0.46264499280333754</v>
      </c>
      <c r="AE693" s="205">
        <f t="shared" si="520"/>
        <v>0.47849959081431731</v>
      </c>
      <c r="AF693" s="205">
        <f t="shared" si="520"/>
        <v>0.39997325612553042</v>
      </c>
      <c r="AG693" s="219"/>
    </row>
    <row r="694" spans="1:33" x14ac:dyDescent="0.2">
      <c r="A694" s="684" t="s">
        <v>586</v>
      </c>
      <c r="C694" s="205">
        <f>C$71-((C$242/C$244)*((C693/C$672)*C$674-1))</f>
        <v>1.2884763557501455E-2</v>
      </c>
      <c r="D694" s="205">
        <f t="shared" ref="D694:AF694" si="521">D$71-((D$242/D$244)*((D693/D$672)*D$674-1))</f>
        <v>1.3943194661626686E-2</v>
      </c>
      <c r="E694" s="205">
        <f t="shared" si="521"/>
        <v>1.3988593516166216E-2</v>
      </c>
      <c r="F694" s="205">
        <f t="shared" si="521"/>
        <v>1.2073867472792786E-2</v>
      </c>
      <c r="G694" s="205">
        <f t="shared" si="521"/>
        <v>1.4426728150683807E-2</v>
      </c>
      <c r="H694" s="205">
        <f t="shared" si="521"/>
        <v>1.486009073988852E-2</v>
      </c>
      <c r="I694" s="205">
        <f t="shared" si="521"/>
        <v>1.354477908709034E-2</v>
      </c>
      <c r="J694" s="205">
        <f t="shared" si="521"/>
        <v>1.3963683942106271E-2</v>
      </c>
      <c r="K694" s="205">
        <f t="shared" si="521"/>
        <v>6.9416319643246351E-3</v>
      </c>
      <c r="L694" s="205">
        <f t="shared" si="521"/>
        <v>6.9404290820166649E-3</v>
      </c>
      <c r="M694" s="205">
        <f t="shared" si="521"/>
        <v>6.9400073058871565E-3</v>
      </c>
      <c r="N694" s="205">
        <f t="shared" si="521"/>
        <v>6.9397635630426479E-3</v>
      </c>
      <c r="O694" s="205">
        <f t="shared" si="521"/>
        <v>6.936787400129916E-3</v>
      </c>
      <c r="P694" s="205">
        <f t="shared" si="521"/>
        <v>6.9381027092912653E-3</v>
      </c>
      <c r="Q694" s="205">
        <f t="shared" si="521"/>
        <v>6.928951038727562E-3</v>
      </c>
      <c r="R694" s="205">
        <f t="shared" si="521"/>
        <v>4.4293652719017904E-3</v>
      </c>
      <c r="S694" s="205">
        <f t="shared" si="521"/>
        <v>4.4285190524127795E-3</v>
      </c>
      <c r="T694" s="205">
        <f t="shared" si="521"/>
        <v>4.4061288414445239E-3</v>
      </c>
      <c r="U694" s="205">
        <f t="shared" si="521"/>
        <v>4.4040972769464606E-3</v>
      </c>
      <c r="V694" s="205">
        <f t="shared" si="521"/>
        <v>4.3899346820608096E-3</v>
      </c>
      <c r="W694" s="205">
        <f t="shared" si="521"/>
        <v>4.3903536579632425E-3</v>
      </c>
      <c r="X694" s="205">
        <f t="shared" si="521"/>
        <v>4.4432125560120977E-3</v>
      </c>
      <c r="Y694" s="205">
        <f t="shared" si="521"/>
        <v>4.4210702399599512E-3</v>
      </c>
      <c r="Z694" s="205">
        <f t="shared" si="521"/>
        <v>4.4110166622669872E-3</v>
      </c>
      <c r="AA694" s="205">
        <f t="shared" si="521"/>
        <v>0.49044153971965015</v>
      </c>
      <c r="AB694" s="205">
        <f t="shared" si="521"/>
        <v>0.49173739247075515</v>
      </c>
      <c r="AC694" s="205">
        <f t="shared" si="521"/>
        <v>0.49149739045017876</v>
      </c>
      <c r="AD694" s="205">
        <f t="shared" si="521"/>
        <v>0.49170958974531942</v>
      </c>
      <c r="AE694" s="205">
        <f t="shared" si="521"/>
        <v>0.49064813466285923</v>
      </c>
      <c r="AF694" s="205">
        <f t="shared" si="521"/>
        <v>0.49164994638551568</v>
      </c>
      <c r="AG694" s="217"/>
    </row>
    <row r="695" spans="1:33" x14ac:dyDescent="0.2">
      <c r="A695" s="684" t="s">
        <v>437</v>
      </c>
      <c r="C695" s="517">
        <f>(1/C$242)*LN(C694+1)/1000000</f>
        <v>82.529967457734017</v>
      </c>
      <c r="D695" s="517">
        <f t="shared" ref="D695:AF695" si="522">(1/D$242)*LN(D694+1)/1000000</f>
        <v>89.262740086984223</v>
      </c>
      <c r="E695" s="517">
        <f t="shared" si="522"/>
        <v>89.551368946703533</v>
      </c>
      <c r="F695" s="517">
        <f t="shared" si="522"/>
        <v>77.367025143750723</v>
      </c>
      <c r="G695" s="517">
        <f t="shared" si="522"/>
        <v>92.336200371888225</v>
      </c>
      <c r="H695" s="517">
        <f t="shared" si="522"/>
        <v>95.089517209615195</v>
      </c>
      <c r="I695" s="517">
        <f t="shared" si="522"/>
        <v>86.72920906102739</v>
      </c>
      <c r="J695" s="517">
        <f t="shared" si="522"/>
        <v>89.3930048340128</v>
      </c>
      <c r="K695" s="517">
        <f t="shared" si="522"/>
        <v>44.594035500196782</v>
      </c>
      <c r="L695" s="517">
        <f t="shared" si="522"/>
        <v>44.586334674294832</v>
      </c>
      <c r="M695" s="517">
        <f t="shared" si="522"/>
        <v>44.583634470673751</v>
      </c>
      <c r="N695" s="517">
        <f t="shared" si="522"/>
        <v>44.582074032605114</v>
      </c>
      <c r="O695" s="517">
        <f t="shared" si="522"/>
        <v>44.563020651403491</v>
      </c>
      <c r="P695" s="517">
        <f t="shared" si="522"/>
        <v>44.571441261515204</v>
      </c>
      <c r="Q695" s="517">
        <f t="shared" si="522"/>
        <v>44.512852032596903</v>
      </c>
      <c r="R695" s="517">
        <f t="shared" si="522"/>
        <v>28.490472229734682</v>
      </c>
      <c r="S695" s="517">
        <f t="shared" si="522"/>
        <v>28.485041202125817</v>
      </c>
      <c r="T695" s="517">
        <f t="shared" si="522"/>
        <v>28.3413394059795</v>
      </c>
      <c r="U695" s="517">
        <f t="shared" si="522"/>
        <v>28.328300537476451</v>
      </c>
      <c r="V695" s="517">
        <f t="shared" si="522"/>
        <v>28.23740226610121</v>
      </c>
      <c r="W695" s="517">
        <f t="shared" si="522"/>
        <v>28.240091352822116</v>
      </c>
      <c r="X695" s="517">
        <f t="shared" si="522"/>
        <v>28.579343300661385</v>
      </c>
      <c r="Y695" s="517">
        <f t="shared" si="522"/>
        <v>28.437234606259114</v>
      </c>
      <c r="Z695" s="517">
        <f t="shared" si="522"/>
        <v>28.372710023798611</v>
      </c>
      <c r="AA695" s="517">
        <f t="shared" si="522"/>
        <v>2572.5860528027479</v>
      </c>
      <c r="AB695" s="517">
        <f t="shared" si="522"/>
        <v>2578.1884021374913</v>
      </c>
      <c r="AC695" s="517">
        <f t="shared" si="522"/>
        <v>2577.1511707124791</v>
      </c>
      <c r="AD695" s="517">
        <f t="shared" si="522"/>
        <v>2578.0682539433901</v>
      </c>
      <c r="AE695" s="517">
        <f t="shared" si="522"/>
        <v>2573.4795492885673</v>
      </c>
      <c r="AF695" s="517">
        <f t="shared" si="522"/>
        <v>2577.810500363305</v>
      </c>
      <c r="AG695" s="204"/>
    </row>
    <row r="696" spans="1:33" x14ac:dyDescent="0.2">
      <c r="A696" s="684" t="s">
        <v>587</v>
      </c>
      <c r="C696" s="499">
        <f>C$139/(EXP(C695*1000000*C$243)-1)</f>
        <v>8.4626621129027173E-14</v>
      </c>
      <c r="D696" s="499">
        <f t="shared" ref="D696:AF696" si="523">D$139/(EXP(D695*1000000*D$243)-1)</f>
        <v>1.4530918453571015E-14</v>
      </c>
      <c r="E696" s="499">
        <f t="shared" si="523"/>
        <v>3.4360195961420708E-14</v>
      </c>
      <c r="F696" s="499">
        <f t="shared" si="523"/>
        <v>-2.7205450797074087E-14</v>
      </c>
      <c r="G696" s="499">
        <f t="shared" si="523"/>
        <v>7.770121853251574E-14</v>
      </c>
      <c r="H696" s="499">
        <f t="shared" si="523"/>
        <v>5.5594713681615098E-14</v>
      </c>
      <c r="I696" s="499">
        <f t="shared" si="523"/>
        <v>5.0672804852072096E-14</v>
      </c>
      <c r="J696" s="499">
        <f t="shared" si="523"/>
        <v>7.6849377636718011E-14</v>
      </c>
      <c r="K696" s="499">
        <f t="shared" si="523"/>
        <v>6.353406676844157E-12</v>
      </c>
      <c r="L696" s="499">
        <f t="shared" si="523"/>
        <v>4.4519029300508687E-12</v>
      </c>
      <c r="M696" s="499">
        <f t="shared" si="523"/>
        <v>4.0941078955648444E-12</v>
      </c>
      <c r="N696" s="499">
        <f t="shared" si="523"/>
        <v>6.728570694506281E-12</v>
      </c>
      <c r="O696" s="499">
        <f t="shared" si="523"/>
        <v>1.6159883434333444E-12</v>
      </c>
      <c r="P696" s="499">
        <f t="shared" si="523"/>
        <v>3.5334674075881648E-12</v>
      </c>
      <c r="Q696" s="499">
        <f t="shared" si="523"/>
        <v>5.8921389357642939E-13</v>
      </c>
      <c r="R696" s="499">
        <f t="shared" si="523"/>
        <v>1.3498265091344686E-12</v>
      </c>
      <c r="S696" s="499">
        <f t="shared" si="523"/>
        <v>1.4720443093400432E-12</v>
      </c>
      <c r="T696" s="499">
        <f t="shared" si="523"/>
        <v>1.2579292019870868E-12</v>
      </c>
      <c r="U696" s="499">
        <f t="shared" si="523"/>
        <v>9.1630194795256174E-13</v>
      </c>
      <c r="V696" s="499">
        <f t="shared" si="523"/>
        <v>3.4056802143742964E-13</v>
      </c>
      <c r="W696" s="499">
        <f t="shared" si="523"/>
        <v>2.5909798495398566E-13</v>
      </c>
      <c r="X696" s="499">
        <f t="shared" si="523"/>
        <v>9.5773255423009993E-13</v>
      </c>
      <c r="Y696" s="499">
        <f t="shared" si="523"/>
        <v>7.0191578806069839E-13</v>
      </c>
      <c r="Z696" s="499">
        <f t="shared" si="523"/>
        <v>4.3222320290609721E-13</v>
      </c>
      <c r="AA696" s="499">
        <f t="shared" si="523"/>
        <v>4.564603180853397E-12</v>
      </c>
      <c r="AB696" s="499">
        <f t="shared" si="523"/>
        <v>4.5723944587278575E-12</v>
      </c>
      <c r="AC696" s="499">
        <f t="shared" si="523"/>
        <v>2.4667118087038847E-12</v>
      </c>
      <c r="AD696" s="499">
        <f t="shared" si="523"/>
        <v>7.2050103059561209E-12</v>
      </c>
      <c r="AE696" s="499">
        <f t="shared" si="523"/>
        <v>6.7187963457213262E-12</v>
      </c>
      <c r="AF696" s="499">
        <f t="shared" si="523"/>
        <v>5.7146686707518419E-12</v>
      </c>
      <c r="AG696" s="204"/>
    </row>
    <row r="697" spans="1:33" s="85" customFormat="1" x14ac:dyDescent="0.2">
      <c r="A697" s="684" t="s">
        <v>588</v>
      </c>
      <c r="B697" s="223"/>
      <c r="C697" s="205">
        <f>C696/(C$127+C$130)</f>
        <v>6.3401110738891431E-2</v>
      </c>
      <c r="D697" s="205">
        <f t="shared" ref="D697:AF697" si="524">D696/(D$127+D$130)</f>
        <v>0.19115218832033445</v>
      </c>
      <c r="E697" s="205">
        <f t="shared" si="524"/>
        <v>0.22570786268618517</v>
      </c>
      <c r="F697" s="205">
        <f t="shared" si="524"/>
        <v>-0.10740270404427651</v>
      </c>
      <c r="G697" s="205">
        <f t="shared" si="524"/>
        <v>0.23747619636940398</v>
      </c>
      <c r="H697" s="205">
        <f t="shared" si="524"/>
        <v>0.38611371123586502</v>
      </c>
      <c r="I697" s="205">
        <f t="shared" si="524"/>
        <v>0.20761402107532673</v>
      </c>
      <c r="J697" s="205">
        <f t="shared" si="524"/>
        <v>0.38777741480523503</v>
      </c>
      <c r="K697" s="205">
        <f t="shared" si="524"/>
        <v>0.60193126237324923</v>
      </c>
      <c r="L697" s="205">
        <f t="shared" si="524"/>
        <v>0.59410669543233929</v>
      </c>
      <c r="M697" s="205">
        <f t="shared" si="524"/>
        <v>0.59139889018666858</v>
      </c>
      <c r="N697" s="205">
        <f t="shared" si="524"/>
        <v>0.62250393076020416</v>
      </c>
      <c r="O697" s="205">
        <f t="shared" si="524"/>
        <v>0.57374959874557374</v>
      </c>
      <c r="P697" s="205">
        <f t="shared" si="524"/>
        <v>0.60555916550526523</v>
      </c>
      <c r="Q697" s="205">
        <f t="shared" si="524"/>
        <v>0.52103143063565738</v>
      </c>
      <c r="R697" s="205">
        <f t="shared" si="524"/>
        <v>0.77164742685115406</v>
      </c>
      <c r="S697" s="205">
        <f t="shared" si="524"/>
        <v>0.87245935568821287</v>
      </c>
      <c r="T697" s="205">
        <f t="shared" si="524"/>
        <v>0.83628587677863842</v>
      </c>
      <c r="U697" s="205">
        <f t="shared" si="524"/>
        <v>1.080893135392442</v>
      </c>
      <c r="V697" s="205">
        <f t="shared" si="524"/>
        <v>0.77455178257053958</v>
      </c>
      <c r="W697" s="205">
        <f t="shared" si="524"/>
        <v>0.682514792152216</v>
      </c>
      <c r="X697" s="205">
        <f t="shared" si="524"/>
        <v>0.60017852561432239</v>
      </c>
      <c r="Y697" s="205">
        <f t="shared" si="524"/>
        <v>0.66696251443260879</v>
      </c>
      <c r="Z697" s="205">
        <f t="shared" si="524"/>
        <v>0.46186818821877934</v>
      </c>
      <c r="AA697" s="205">
        <f t="shared" si="524"/>
        <v>0.41203879542795946</v>
      </c>
      <c r="AB697" s="205">
        <f t="shared" si="524"/>
        <v>0.33617704616493099</v>
      </c>
      <c r="AC697" s="205">
        <f t="shared" si="524"/>
        <v>0.38818075657836165</v>
      </c>
      <c r="AD697" s="205">
        <f t="shared" si="524"/>
        <v>0.46263320638907091</v>
      </c>
      <c r="AE697" s="205">
        <f t="shared" si="524"/>
        <v>0.47848744776425534</v>
      </c>
      <c r="AF697" s="205">
        <f t="shared" si="524"/>
        <v>0.39996281326490851</v>
      </c>
      <c r="AG697" s="219"/>
    </row>
    <row r="698" spans="1:33" x14ac:dyDescent="0.2">
      <c r="A698" s="684" t="s">
        <v>589</v>
      </c>
      <c r="C698" s="205">
        <f>C$71-((C$242/C$244)*((C697/C$672)*C$674-1))</f>
        <v>1.2884764013052379E-2</v>
      </c>
      <c r="D698" s="205">
        <f t="shared" ref="D698:AF698" si="525">D$71-((D$242/D$244)*((D697/D$672)*D$674-1))</f>
        <v>1.3943195874951169E-2</v>
      </c>
      <c r="E698" s="205">
        <f t="shared" si="525"/>
        <v>1.3988594926547219E-2</v>
      </c>
      <c r="F698" s="205">
        <f t="shared" si="525"/>
        <v>1.2073866600901999E-2</v>
      </c>
      <c r="G698" s="205">
        <f t="shared" si="525"/>
        <v>1.4426729583164214E-2</v>
      </c>
      <c r="H698" s="205">
        <f t="shared" si="525"/>
        <v>1.4860092878769602E-2</v>
      </c>
      <c r="I698" s="205">
        <f t="shared" si="525"/>
        <v>1.3544780435921179E-2</v>
      </c>
      <c r="J698" s="205">
        <f t="shared" si="525"/>
        <v>1.3963686227452886E-2</v>
      </c>
      <c r="K698" s="205">
        <f t="shared" si="525"/>
        <v>6.9416385344665994E-3</v>
      </c>
      <c r="L698" s="205">
        <f t="shared" si="525"/>
        <v>6.9404355891259165E-3</v>
      </c>
      <c r="M698" s="205">
        <f t="shared" si="525"/>
        <v>6.940013791052857E-3</v>
      </c>
      <c r="N698" s="205">
        <f t="shared" si="525"/>
        <v>6.9397703010424198E-3</v>
      </c>
      <c r="O698" s="205">
        <f t="shared" si="525"/>
        <v>6.936793740994201E-3</v>
      </c>
      <c r="P698" s="205">
        <f t="shared" si="525"/>
        <v>6.9381093123636857E-3</v>
      </c>
      <c r="Q698" s="205">
        <f t="shared" si="525"/>
        <v>6.9289569292711054E-3</v>
      </c>
      <c r="R698" s="205">
        <f t="shared" si="525"/>
        <v>4.4293775527683389E-3</v>
      </c>
      <c r="S698" s="205">
        <f t="shared" si="525"/>
        <v>4.4285323086761278E-3</v>
      </c>
      <c r="T698" s="205">
        <f t="shared" si="525"/>
        <v>4.4061418312005517E-3</v>
      </c>
      <c r="U698" s="205">
        <f t="shared" si="525"/>
        <v>4.4041121656727654E-3</v>
      </c>
      <c r="V698" s="205">
        <f t="shared" si="525"/>
        <v>4.3899471039414023E-3</v>
      </c>
      <c r="W698" s="205">
        <f t="shared" si="525"/>
        <v>4.3903650580846484E-3</v>
      </c>
      <c r="X698" s="205">
        <f t="shared" si="525"/>
        <v>4.4432228152332292E-3</v>
      </c>
      <c r="Y698" s="205">
        <f t="shared" si="525"/>
        <v>4.4210813773148637E-3</v>
      </c>
      <c r="Z698" s="205">
        <f t="shared" si="525"/>
        <v>4.4110250764351419E-3</v>
      </c>
      <c r="AA698" s="205">
        <f t="shared" si="525"/>
        <v>0.49044153978003152</v>
      </c>
      <c r="AB698" s="205">
        <f t="shared" si="525"/>
        <v>0.49173739252131643</v>
      </c>
      <c r="AC698" s="205">
        <f t="shared" si="525"/>
        <v>0.49149739050745245</v>
      </c>
      <c r="AD698" s="205">
        <f t="shared" si="525"/>
        <v>0.49170958981160062</v>
      </c>
      <c r="AE698" s="205">
        <f t="shared" si="525"/>
        <v>0.49064813473114599</v>
      </c>
      <c r="AF698" s="205">
        <f t="shared" si="525"/>
        <v>0.49164994644424137</v>
      </c>
      <c r="AG698" s="217"/>
    </row>
    <row r="699" spans="1:33" x14ac:dyDescent="0.2">
      <c r="A699" s="684" t="s">
        <v>438</v>
      </c>
      <c r="C699" s="517">
        <f>(1/C$242)*LN(C698+1)/1000000</f>
        <v>82.529970357047034</v>
      </c>
      <c r="D699" s="517">
        <f t="shared" ref="D699:AF699" si="526">(1/D$242)*LN(D698+1)/1000000</f>
        <v>89.262747801018534</v>
      </c>
      <c r="E699" s="517">
        <f t="shared" si="526"/>
        <v>89.551377913174804</v>
      </c>
      <c r="F699" s="517">
        <f t="shared" si="526"/>
        <v>77.367019590234051</v>
      </c>
      <c r="G699" s="517">
        <f t="shared" si="526"/>
        <v>92.336209474922882</v>
      </c>
      <c r="H699" s="517">
        <f t="shared" si="526"/>
        <v>95.089530795835984</v>
      </c>
      <c r="I699" s="517">
        <f t="shared" si="526"/>
        <v>86.729217639949951</v>
      </c>
      <c r="J699" s="517">
        <f t="shared" si="526"/>
        <v>89.393019363419342</v>
      </c>
      <c r="K699" s="517">
        <f t="shared" si="526"/>
        <v>44.594077562073615</v>
      </c>
      <c r="L699" s="517">
        <f t="shared" si="526"/>
        <v>44.586376332687784</v>
      </c>
      <c r="M699" s="517">
        <f t="shared" si="526"/>
        <v>44.583675988603261</v>
      </c>
      <c r="N699" s="517">
        <f t="shared" si="526"/>
        <v>44.582117169184222</v>
      </c>
      <c r="O699" s="517">
        <f t="shared" si="526"/>
        <v>44.563061245647148</v>
      </c>
      <c r="P699" s="517">
        <f t="shared" si="526"/>
        <v>44.571483534362137</v>
      </c>
      <c r="Q699" s="517">
        <f t="shared" si="526"/>
        <v>44.512889744178935</v>
      </c>
      <c r="R699" s="517">
        <f t="shared" si="526"/>
        <v>28.490551048170822</v>
      </c>
      <c r="S699" s="517">
        <f t="shared" si="526"/>
        <v>28.485126280717605</v>
      </c>
      <c r="T699" s="517">
        <f t="shared" si="526"/>
        <v>28.34142277598686</v>
      </c>
      <c r="U699" s="517">
        <f t="shared" si="526"/>
        <v>28.328396095526287</v>
      </c>
      <c r="V699" s="517">
        <f t="shared" si="526"/>
        <v>28.237481992693677</v>
      </c>
      <c r="W699" s="517">
        <f t="shared" si="526"/>
        <v>28.240164521488946</v>
      </c>
      <c r="X699" s="517">
        <f t="shared" si="526"/>
        <v>28.579409143296161</v>
      </c>
      <c r="Y699" s="517">
        <f t="shared" si="526"/>
        <v>28.437306086244156</v>
      </c>
      <c r="Z699" s="517">
        <f t="shared" si="526"/>
        <v>28.372764026802351</v>
      </c>
      <c r="AA699" s="517">
        <f t="shared" si="526"/>
        <v>2572.586053063907</v>
      </c>
      <c r="AB699" s="517">
        <f t="shared" si="526"/>
        <v>2578.1884023559874</v>
      </c>
      <c r="AC699" s="517">
        <f t="shared" si="526"/>
        <v>2577.1511709600222</v>
      </c>
      <c r="AD699" s="517">
        <f t="shared" si="526"/>
        <v>2578.0682542298237</v>
      </c>
      <c r="AE699" s="517">
        <f t="shared" si="526"/>
        <v>2573.4795495838785</v>
      </c>
      <c r="AF699" s="517">
        <f t="shared" si="526"/>
        <v>2577.8105006170981</v>
      </c>
      <c r="AG699" s="204"/>
    </row>
    <row r="700" spans="1:33" x14ac:dyDescent="0.2">
      <c r="A700" s="684" t="s">
        <v>590</v>
      </c>
      <c r="C700" s="499">
        <f>C$139/(EXP(C699*1000000*C$243)-1)</f>
        <v>8.4626618149988552E-14</v>
      </c>
      <c r="D700" s="499">
        <f t="shared" ref="D700:AF700" si="527">D$139/(EXP(D699*1000000*D$243)-1)</f>
        <v>1.4530917195042373E-14</v>
      </c>
      <c r="E700" s="499">
        <f t="shared" si="527"/>
        <v>3.4360192513425609E-14</v>
      </c>
      <c r="F700" s="499">
        <f t="shared" si="527"/>
        <v>-2.7205452753661099E-14</v>
      </c>
      <c r="G700" s="499">
        <f t="shared" si="527"/>
        <v>7.7701210854770028E-14</v>
      </c>
      <c r="H700" s="499">
        <f t="shared" si="527"/>
        <v>5.5594705719644298E-14</v>
      </c>
      <c r="I700" s="499">
        <f t="shared" si="527"/>
        <v>5.067279982895124E-14</v>
      </c>
      <c r="J700" s="499">
        <f t="shared" si="527"/>
        <v>7.6849365118439125E-14</v>
      </c>
      <c r="K700" s="499">
        <f t="shared" si="527"/>
        <v>6.3534006775921251E-12</v>
      </c>
      <c r="L700" s="499">
        <f t="shared" si="527"/>
        <v>4.4518987659142099E-12</v>
      </c>
      <c r="M700" s="499">
        <f t="shared" si="527"/>
        <v>4.0941040787770267E-12</v>
      </c>
      <c r="N700" s="499">
        <f t="shared" si="527"/>
        <v>6.7285641769211655E-12</v>
      </c>
      <c r="O700" s="499">
        <f t="shared" si="527"/>
        <v>1.61598686974272E-12</v>
      </c>
      <c r="P700" s="499">
        <f t="shared" si="527"/>
        <v>3.533464052652091E-12</v>
      </c>
      <c r="Q700" s="499">
        <f t="shared" si="527"/>
        <v>5.8921339384108217E-13</v>
      </c>
      <c r="R700" s="499">
        <f t="shared" si="527"/>
        <v>1.349822772238842E-12</v>
      </c>
      <c r="S700" s="499">
        <f t="shared" si="527"/>
        <v>1.4720399095798117E-12</v>
      </c>
      <c r="T700" s="499">
        <f t="shared" si="527"/>
        <v>1.2579254990287222E-12</v>
      </c>
      <c r="U700" s="499">
        <f t="shared" si="527"/>
        <v>9.1629885489354435E-13</v>
      </c>
      <c r="V700" s="499">
        <f t="shared" si="527"/>
        <v>3.4056705919514714E-13</v>
      </c>
      <c r="W700" s="499">
        <f t="shared" si="527"/>
        <v>2.5909731317670931E-13</v>
      </c>
      <c r="X700" s="499">
        <f t="shared" si="527"/>
        <v>9.577303461989924E-13</v>
      </c>
      <c r="Y700" s="499">
        <f t="shared" si="527"/>
        <v>7.0191402248435432E-13</v>
      </c>
      <c r="Z700" s="499">
        <f t="shared" si="527"/>
        <v>4.3222237966101816E-13</v>
      </c>
      <c r="AA700" s="499">
        <f t="shared" si="527"/>
        <v>4.5646031803599013E-12</v>
      </c>
      <c r="AB700" s="499">
        <f t="shared" si="527"/>
        <v>4.5723944583151178E-12</v>
      </c>
      <c r="AC700" s="499">
        <f t="shared" si="527"/>
        <v>2.4667118084515256E-12</v>
      </c>
      <c r="AD700" s="499">
        <f t="shared" si="527"/>
        <v>7.2050103051034737E-12</v>
      </c>
      <c r="AE700" s="499">
        <f t="shared" si="527"/>
        <v>6.7187963449002073E-12</v>
      </c>
      <c r="AF700" s="499">
        <f t="shared" si="527"/>
        <v>5.7146686701525705E-12</v>
      </c>
      <c r="AG700" s="204"/>
    </row>
    <row r="701" spans="1:33" s="85" customFormat="1" x14ac:dyDescent="0.2">
      <c r="A701" s="684" t="s">
        <v>591</v>
      </c>
      <c r="B701" s="223"/>
      <c r="C701" s="205">
        <f>C700/(C$127+C$130)</f>
        <v>6.3401108507036313E-2</v>
      </c>
      <c r="D701" s="205">
        <f t="shared" ref="D701:AF701" si="528">D700/(D$127+D$130)</f>
        <v>0.1911521717645672</v>
      </c>
      <c r="E701" s="205">
        <f t="shared" si="528"/>
        <v>0.22570784003673333</v>
      </c>
      <c r="F701" s="205">
        <f t="shared" si="528"/>
        <v>-0.10740271176856447</v>
      </c>
      <c r="G701" s="205">
        <f t="shared" si="528"/>
        <v>0.23747617290411113</v>
      </c>
      <c r="H701" s="205">
        <f t="shared" si="528"/>
        <v>0.38611365593877123</v>
      </c>
      <c r="I701" s="205">
        <f t="shared" si="528"/>
        <v>0.20761400049485318</v>
      </c>
      <c r="J701" s="205">
        <f t="shared" si="528"/>
        <v>0.38777735163874011</v>
      </c>
      <c r="K701" s="205">
        <f t="shared" si="528"/>
        <v>0.60193069399512833</v>
      </c>
      <c r="L701" s="205">
        <f t="shared" si="528"/>
        <v>0.59410613972806892</v>
      </c>
      <c r="M701" s="205">
        <f t="shared" si="528"/>
        <v>0.59139833884700266</v>
      </c>
      <c r="N701" s="205">
        <f t="shared" si="528"/>
        <v>0.62250332777592454</v>
      </c>
      <c r="O701" s="205">
        <f t="shared" si="528"/>
        <v>0.57374907551815824</v>
      </c>
      <c r="P701" s="205">
        <f t="shared" si="528"/>
        <v>0.6055585905424723</v>
      </c>
      <c r="Q701" s="205">
        <f t="shared" si="528"/>
        <v>0.5210309887285236</v>
      </c>
      <c r="R701" s="205">
        <f t="shared" si="528"/>
        <v>0.77164529060188414</v>
      </c>
      <c r="S701" s="205">
        <f t="shared" si="528"/>
        <v>0.87245674801400619</v>
      </c>
      <c r="T701" s="205">
        <f t="shared" si="528"/>
        <v>0.83628341500910663</v>
      </c>
      <c r="U701" s="205">
        <f t="shared" si="528"/>
        <v>1.0808894867411796</v>
      </c>
      <c r="V701" s="205">
        <f t="shared" si="528"/>
        <v>0.77454959414876112</v>
      </c>
      <c r="W701" s="205">
        <f t="shared" si="528"/>
        <v>0.68251302255941804</v>
      </c>
      <c r="X701" s="205">
        <f t="shared" si="528"/>
        <v>0.60017714191607718</v>
      </c>
      <c r="Y701" s="205">
        <f t="shared" si="528"/>
        <v>0.66696083677660234</v>
      </c>
      <c r="Z701" s="205">
        <f t="shared" si="528"/>
        <v>0.46186730850961388</v>
      </c>
      <c r="AA701" s="205">
        <f t="shared" si="528"/>
        <v>0.41203879538341248</v>
      </c>
      <c r="AB701" s="205">
        <f t="shared" si="528"/>
        <v>0.33617704613458504</v>
      </c>
      <c r="AC701" s="205">
        <f t="shared" si="528"/>
        <v>0.38818075653864847</v>
      </c>
      <c r="AD701" s="205">
        <f t="shared" si="528"/>
        <v>0.46263320633432248</v>
      </c>
      <c r="AE701" s="205">
        <f t="shared" si="528"/>
        <v>0.47848744770577833</v>
      </c>
      <c r="AF701" s="205">
        <f t="shared" si="528"/>
        <v>0.39996281322296623</v>
      </c>
      <c r="AG701" s="219"/>
    </row>
    <row r="702" spans="1:33" x14ac:dyDescent="0.2">
      <c r="A702" s="684" t="s">
        <v>592</v>
      </c>
      <c r="C702" s="205">
        <f>C$71-((C$242/C$244)*((C701/C$672)*C$674-1))</f>
        <v>1.2884764013064929E-2</v>
      </c>
      <c r="D702" s="205">
        <f t="shared" ref="D702:AF702" si="529">D$71-((D$242/D$244)*((D701/D$672)*D$674-1))</f>
        <v>1.3943195875044272E-2</v>
      </c>
      <c r="E702" s="205">
        <f t="shared" si="529"/>
        <v>1.398859492667459E-2</v>
      </c>
      <c r="F702" s="205">
        <f t="shared" si="529"/>
        <v>1.2073866600945438E-2</v>
      </c>
      <c r="G702" s="205">
        <f t="shared" si="529"/>
        <v>1.4426729583296173E-2</v>
      </c>
      <c r="H702" s="205">
        <f t="shared" si="529"/>
        <v>1.4860092879080567E-2</v>
      </c>
      <c r="I702" s="205">
        <f t="shared" si="529"/>
        <v>1.3544780436036914E-2</v>
      </c>
      <c r="J702" s="205">
        <f t="shared" si="529"/>
        <v>1.3963686227808103E-2</v>
      </c>
      <c r="K702" s="205">
        <f t="shared" si="529"/>
        <v>6.9416385376628899E-3</v>
      </c>
      <c r="L702" s="205">
        <f t="shared" si="529"/>
        <v>6.9404355922509349E-3</v>
      </c>
      <c r="M702" s="205">
        <f t="shared" si="529"/>
        <v>6.9400137941533309E-3</v>
      </c>
      <c r="N702" s="205">
        <f t="shared" si="529"/>
        <v>6.9397703044333185E-3</v>
      </c>
      <c r="O702" s="205">
        <f t="shared" si="529"/>
        <v>6.9367937439365843E-3</v>
      </c>
      <c r="P702" s="205">
        <f t="shared" si="529"/>
        <v>6.9381093155970047E-3</v>
      </c>
      <c r="Q702" s="205">
        <f t="shared" si="529"/>
        <v>6.9289569317561818E-3</v>
      </c>
      <c r="R702" s="205">
        <f t="shared" si="529"/>
        <v>4.4293775647815956E-3</v>
      </c>
      <c r="S702" s="205">
        <f t="shared" si="529"/>
        <v>4.4285323233404549E-3</v>
      </c>
      <c r="T702" s="205">
        <f t="shared" si="529"/>
        <v>4.4061418450443797E-3</v>
      </c>
      <c r="U702" s="205">
        <f t="shared" si="529"/>
        <v>4.4041121861910556E-3</v>
      </c>
      <c r="V702" s="205">
        <f t="shared" si="529"/>
        <v>4.3899471162480519E-3</v>
      </c>
      <c r="W702" s="205">
        <f t="shared" si="529"/>
        <v>4.3903650680360016E-3</v>
      </c>
      <c r="X702" s="205">
        <f t="shared" si="529"/>
        <v>4.4432228230144944E-3</v>
      </c>
      <c r="Y702" s="205">
        <f t="shared" si="529"/>
        <v>4.4210813867492076E-3</v>
      </c>
      <c r="Z702" s="205">
        <f t="shared" si="529"/>
        <v>4.4110250813822107E-3</v>
      </c>
      <c r="AA702" s="205">
        <f t="shared" si="529"/>
        <v>0.4904415397800318</v>
      </c>
      <c r="AB702" s="205">
        <f t="shared" si="529"/>
        <v>0.4917373925213166</v>
      </c>
      <c r="AC702" s="205">
        <f t="shared" si="529"/>
        <v>0.49149739050745267</v>
      </c>
      <c r="AD702" s="205">
        <f t="shared" si="529"/>
        <v>0.4917095898116009</v>
      </c>
      <c r="AE702" s="205">
        <f t="shared" si="529"/>
        <v>0.49064813473114632</v>
      </c>
      <c r="AF702" s="205">
        <f t="shared" si="529"/>
        <v>0.49164994644424165</v>
      </c>
      <c r="AG702" s="217"/>
    </row>
    <row r="703" spans="1:33" x14ac:dyDescent="0.2">
      <c r="A703" s="684" t="s">
        <v>218</v>
      </c>
      <c r="C703" s="517">
        <f>(1/C$242)*LN(C702+1)/1000000</f>
        <v>82.529970357127596</v>
      </c>
      <c r="D703" s="517">
        <f t="shared" ref="D703:AF703" si="530">(1/D$242)*LN(D702+1)/1000000</f>
        <v>89.262747801610033</v>
      </c>
      <c r="E703" s="517">
        <f t="shared" si="530"/>
        <v>89.551377913983671</v>
      </c>
      <c r="F703" s="517">
        <f t="shared" si="530"/>
        <v>77.367019590511248</v>
      </c>
      <c r="G703" s="517">
        <f t="shared" si="530"/>
        <v>92.336209475762459</v>
      </c>
      <c r="H703" s="517">
        <f t="shared" si="530"/>
        <v>95.089530797810596</v>
      </c>
      <c r="I703" s="517">
        <f t="shared" si="530"/>
        <v>86.729217640685732</v>
      </c>
      <c r="J703" s="517">
        <f t="shared" si="530"/>
        <v>89.393019365678043</v>
      </c>
      <c r="K703" s="517">
        <f t="shared" si="530"/>
        <v>44.59407758253645</v>
      </c>
      <c r="L703" s="517">
        <f t="shared" si="530"/>
        <v>44.586376352694337</v>
      </c>
      <c r="M703" s="517">
        <f t="shared" si="530"/>
        <v>44.583676008452031</v>
      </c>
      <c r="N703" s="517">
        <f t="shared" si="530"/>
        <v>44.582117190893776</v>
      </c>
      <c r="O703" s="517">
        <f t="shared" si="530"/>
        <v>44.56306126448527</v>
      </c>
      <c r="P703" s="517">
        <f t="shared" si="530"/>
        <v>44.571483555061022</v>
      </c>
      <c r="Q703" s="517">
        <f t="shared" si="530"/>
        <v>44.512889760087411</v>
      </c>
      <c r="R703" s="517">
        <f t="shared" si="530"/>
        <v>28.490551125271885</v>
      </c>
      <c r="S703" s="517">
        <f t="shared" si="530"/>
        <v>28.485126374832767</v>
      </c>
      <c r="T703" s="517">
        <f t="shared" si="530"/>
        <v>28.341422864838336</v>
      </c>
      <c r="U703" s="517">
        <f t="shared" si="530"/>
        <v>28.328396227215467</v>
      </c>
      <c r="V703" s="517">
        <f t="shared" si="530"/>
        <v>28.237482071680372</v>
      </c>
      <c r="W703" s="517">
        <f t="shared" si="530"/>
        <v>28.24016458535921</v>
      </c>
      <c r="X703" s="517">
        <f t="shared" si="530"/>
        <v>28.57940919323595</v>
      </c>
      <c r="Y703" s="517">
        <f t="shared" si="530"/>
        <v>28.437306146793421</v>
      </c>
      <c r="Z703" s="517">
        <f t="shared" si="530"/>
        <v>28.372764058553692</v>
      </c>
      <c r="AA703" s="517">
        <f t="shared" si="530"/>
        <v>2572.5860530639093</v>
      </c>
      <c r="AB703" s="517">
        <f t="shared" si="530"/>
        <v>2578.1884023559887</v>
      </c>
      <c r="AC703" s="517">
        <f t="shared" si="530"/>
        <v>2577.151170960024</v>
      </c>
      <c r="AD703" s="517">
        <f t="shared" si="530"/>
        <v>2578.0682542298246</v>
      </c>
      <c r="AE703" s="517">
        <f t="shared" si="530"/>
        <v>2573.4795495838803</v>
      </c>
      <c r="AF703" s="517">
        <f t="shared" si="530"/>
        <v>2577.8105006170995</v>
      </c>
      <c r="AG703" s="204"/>
    </row>
    <row r="704" spans="1:33" x14ac:dyDescent="0.2">
      <c r="A704" s="684" t="s">
        <v>593</v>
      </c>
      <c r="C704" s="499">
        <f>C$139/(EXP(C703*1000000*C$243)-1)</f>
        <v>8.4626618149905879E-14</v>
      </c>
      <c r="D704" s="499">
        <f t="shared" ref="D704:AF704" si="531">D$139/(EXP(D703*1000000*D$243)-1)</f>
        <v>1.4530917194946148E-14</v>
      </c>
      <c r="E704" s="499">
        <f t="shared" si="531"/>
        <v>3.4360192513114615E-14</v>
      </c>
      <c r="F704" s="499">
        <f t="shared" si="531"/>
        <v>-2.7205452753563438E-14</v>
      </c>
      <c r="G704" s="499">
        <f t="shared" si="531"/>
        <v>7.7701210854065405E-14</v>
      </c>
      <c r="H704" s="499">
        <f t="shared" si="531"/>
        <v>5.5594705718487241E-14</v>
      </c>
      <c r="I704" s="499">
        <f t="shared" si="531"/>
        <v>5.0672799828519506E-14</v>
      </c>
      <c r="J704" s="499">
        <f t="shared" si="531"/>
        <v>7.6849365116495018E-14</v>
      </c>
      <c r="K704" s="499">
        <f t="shared" si="531"/>
        <v>6.3534006746738666E-12</v>
      </c>
      <c r="L704" s="499">
        <f t="shared" si="531"/>
        <v>4.4518987639146583E-12</v>
      </c>
      <c r="M704" s="499">
        <f t="shared" si="531"/>
        <v>4.0941040769524738E-12</v>
      </c>
      <c r="N704" s="499">
        <f t="shared" si="531"/>
        <v>6.7285641736409832E-12</v>
      </c>
      <c r="O704" s="499">
        <f t="shared" si="531"/>
        <v>1.6159868690587939E-12</v>
      </c>
      <c r="P704" s="499">
        <f t="shared" si="531"/>
        <v>3.5334640510090772E-12</v>
      </c>
      <c r="Q704" s="499">
        <f t="shared" si="531"/>
        <v>5.8921339363024058E-13</v>
      </c>
      <c r="R704" s="499">
        <f t="shared" si="531"/>
        <v>1.3498227685835117E-12</v>
      </c>
      <c r="S704" s="499">
        <f t="shared" si="531"/>
        <v>1.4720399047127446E-12</v>
      </c>
      <c r="T704" s="499">
        <f t="shared" si="531"/>
        <v>1.2579254950821821E-12</v>
      </c>
      <c r="U704" s="499">
        <f t="shared" si="531"/>
        <v>9.1629885063094654E-13</v>
      </c>
      <c r="V704" s="499">
        <f t="shared" si="531"/>
        <v>3.4056705824184531E-13</v>
      </c>
      <c r="W704" s="499">
        <f t="shared" si="531"/>
        <v>2.5909731259031429E-13</v>
      </c>
      <c r="X704" s="499">
        <f t="shared" si="531"/>
        <v>9.5773034452413947E-13</v>
      </c>
      <c r="Y704" s="499">
        <f t="shared" si="531"/>
        <v>7.019140209888147E-13</v>
      </c>
      <c r="Z704" s="499">
        <f t="shared" si="531"/>
        <v>4.3222237917696478E-13</v>
      </c>
      <c r="AA704" s="499">
        <f t="shared" si="531"/>
        <v>4.5646031803598933E-12</v>
      </c>
      <c r="AB704" s="499">
        <f t="shared" si="531"/>
        <v>4.5723944583151105E-12</v>
      </c>
      <c r="AC704" s="499">
        <f t="shared" si="531"/>
        <v>2.4667118084515256E-12</v>
      </c>
      <c r="AD704" s="499">
        <f t="shared" si="531"/>
        <v>7.2050103051034737E-12</v>
      </c>
      <c r="AE704" s="499">
        <f t="shared" si="531"/>
        <v>6.7187963449002073E-12</v>
      </c>
      <c r="AF704" s="499">
        <f t="shared" si="531"/>
        <v>5.7146686701525705E-12</v>
      </c>
      <c r="AG704" s="204"/>
    </row>
    <row r="705" spans="1:33" s="85" customFormat="1" x14ac:dyDescent="0.2">
      <c r="A705" s="684" t="s">
        <v>594</v>
      </c>
      <c r="B705" s="223"/>
      <c r="C705" s="205">
        <f>C704/(C$127+C$130)</f>
        <v>6.3401108506974377E-2</v>
      </c>
      <c r="D705" s="205">
        <f t="shared" ref="D705:AF705" si="532">D704/(D$127+D$130)</f>
        <v>0.19115217176330135</v>
      </c>
      <c r="E705" s="205">
        <f t="shared" si="532"/>
        <v>0.22570784003469044</v>
      </c>
      <c r="F705" s="205">
        <f t="shared" si="532"/>
        <v>-0.10740271176817892</v>
      </c>
      <c r="G705" s="205">
        <f t="shared" si="532"/>
        <v>0.23747617290195761</v>
      </c>
      <c r="H705" s="205">
        <f t="shared" si="532"/>
        <v>0.38611365593073532</v>
      </c>
      <c r="I705" s="205">
        <f t="shared" si="532"/>
        <v>0.20761400049308432</v>
      </c>
      <c r="J705" s="205">
        <f t="shared" si="532"/>
        <v>0.38777735162893023</v>
      </c>
      <c r="K705" s="205">
        <f t="shared" si="532"/>
        <v>0.60193069371864816</v>
      </c>
      <c r="L705" s="205">
        <f t="shared" si="532"/>
        <v>0.59410613946122859</v>
      </c>
      <c r="M705" s="205">
        <f t="shared" si="532"/>
        <v>0.59139833858344382</v>
      </c>
      <c r="N705" s="205">
        <f t="shared" si="532"/>
        <v>0.62250332747245352</v>
      </c>
      <c r="O705" s="205">
        <f t="shared" si="532"/>
        <v>0.57374907527533325</v>
      </c>
      <c r="P705" s="205">
        <f t="shared" si="532"/>
        <v>0.60555859026089565</v>
      </c>
      <c r="Q705" s="205">
        <f t="shared" si="532"/>
        <v>0.52103098854208008</v>
      </c>
      <c r="R705" s="205">
        <f t="shared" si="532"/>
        <v>0.77164528851226288</v>
      </c>
      <c r="S705" s="205">
        <f t="shared" si="532"/>
        <v>0.87245674512936588</v>
      </c>
      <c r="T705" s="205">
        <f t="shared" si="532"/>
        <v>0.83628341238540116</v>
      </c>
      <c r="U705" s="205">
        <f t="shared" si="532"/>
        <v>1.0808894817129104</v>
      </c>
      <c r="V705" s="205">
        <f t="shared" si="532"/>
        <v>0.77454959198067252</v>
      </c>
      <c r="W705" s="205">
        <f t="shared" si="532"/>
        <v>0.68251302101473876</v>
      </c>
      <c r="X705" s="205">
        <f t="shared" si="532"/>
        <v>0.60017714086650364</v>
      </c>
      <c r="Y705" s="205">
        <f t="shared" si="532"/>
        <v>0.66696083535553607</v>
      </c>
      <c r="Z705" s="205">
        <f t="shared" si="532"/>
        <v>0.46186730799236064</v>
      </c>
      <c r="AA705" s="205">
        <f t="shared" si="532"/>
        <v>0.41203879538341176</v>
      </c>
      <c r="AB705" s="205">
        <f t="shared" si="532"/>
        <v>0.33617704613458455</v>
      </c>
      <c r="AC705" s="205">
        <f t="shared" si="532"/>
        <v>0.38818075653864847</v>
      </c>
      <c r="AD705" s="205">
        <f t="shared" si="532"/>
        <v>0.46263320633432248</v>
      </c>
      <c r="AE705" s="205">
        <f t="shared" si="532"/>
        <v>0.47848744770577833</v>
      </c>
      <c r="AF705" s="205">
        <f t="shared" si="532"/>
        <v>0.39996281322296623</v>
      </c>
      <c r="AG705" s="219"/>
    </row>
    <row r="706" spans="1:33" x14ac:dyDescent="0.2">
      <c r="A706" s="684" t="s">
        <v>595</v>
      </c>
      <c r="C706" s="205">
        <f>C$71-((C$242/C$244)*((C705/C$672)*C$674-1))</f>
        <v>1.2884764013064929E-2</v>
      </c>
      <c r="D706" s="205">
        <f t="shared" ref="D706:AF706" si="533">D$71-((D$242/D$244)*((D705/D$672)*D$674-1))</f>
        <v>1.3943195875044279E-2</v>
      </c>
      <c r="E706" s="205">
        <f t="shared" si="533"/>
        <v>1.39885949266746E-2</v>
      </c>
      <c r="F706" s="205">
        <f t="shared" si="533"/>
        <v>1.2073866600945435E-2</v>
      </c>
      <c r="G706" s="205">
        <f t="shared" si="533"/>
        <v>1.4426729583296185E-2</v>
      </c>
      <c r="H706" s="205">
        <f t="shared" si="533"/>
        <v>1.4860092879080612E-2</v>
      </c>
      <c r="I706" s="205">
        <f t="shared" si="533"/>
        <v>1.3544780436036923E-2</v>
      </c>
      <c r="J706" s="205">
        <f t="shared" si="533"/>
        <v>1.3963686227808159E-2</v>
      </c>
      <c r="K706" s="205">
        <f t="shared" si="533"/>
        <v>6.9416385376644442E-3</v>
      </c>
      <c r="L706" s="205">
        <f t="shared" si="533"/>
        <v>6.9404355922524355E-3</v>
      </c>
      <c r="M706" s="205">
        <f t="shared" si="533"/>
        <v>6.9400137941548132E-3</v>
      </c>
      <c r="N706" s="205">
        <f t="shared" si="533"/>
        <v>6.9397703044350254E-3</v>
      </c>
      <c r="O706" s="205">
        <f t="shared" si="533"/>
        <v>6.9367937439379504E-3</v>
      </c>
      <c r="P706" s="205">
        <f t="shared" si="533"/>
        <v>6.9381093155985885E-3</v>
      </c>
      <c r="Q706" s="205">
        <f t="shared" si="533"/>
        <v>6.9289569317572304E-3</v>
      </c>
      <c r="R706" s="205">
        <f t="shared" si="533"/>
        <v>4.4293775647933466E-3</v>
      </c>
      <c r="S706" s="205">
        <f t="shared" si="533"/>
        <v>4.4285323233566772E-3</v>
      </c>
      <c r="T706" s="205">
        <f t="shared" si="533"/>
        <v>4.4061418450591344E-3</v>
      </c>
      <c r="U706" s="205">
        <f t="shared" si="533"/>
        <v>4.4041121862193324E-3</v>
      </c>
      <c r="V706" s="205">
        <f t="shared" si="533"/>
        <v>4.3899471162602436E-3</v>
      </c>
      <c r="W706" s="205">
        <f t="shared" si="533"/>
        <v>4.3903650680446882E-3</v>
      </c>
      <c r="X706" s="205">
        <f t="shared" si="533"/>
        <v>4.4432228230203968E-3</v>
      </c>
      <c r="Y706" s="205">
        <f t="shared" si="533"/>
        <v>4.4210813867571995E-3</v>
      </c>
      <c r="Z706" s="205">
        <f t="shared" si="533"/>
        <v>4.411025081385119E-3</v>
      </c>
      <c r="AA706" s="205">
        <f t="shared" si="533"/>
        <v>0.4904415397800318</v>
      </c>
      <c r="AB706" s="205">
        <f t="shared" si="533"/>
        <v>0.4917373925213166</v>
      </c>
      <c r="AC706" s="205">
        <f t="shared" si="533"/>
        <v>0.49149739050745267</v>
      </c>
      <c r="AD706" s="205">
        <f t="shared" si="533"/>
        <v>0.4917095898116009</v>
      </c>
      <c r="AE706" s="205">
        <f t="shared" si="533"/>
        <v>0.49064813473114632</v>
      </c>
      <c r="AF706" s="205">
        <f t="shared" si="533"/>
        <v>0.49164994644424165</v>
      </c>
      <c r="AG706" s="217"/>
    </row>
    <row r="707" spans="1:33" x14ac:dyDescent="0.2">
      <c r="A707" s="684" t="s">
        <v>25</v>
      </c>
      <c r="C707" s="517">
        <f>(1/C$242)*LN(C706+1)/1000000</f>
        <v>82.529970357127596</v>
      </c>
      <c r="D707" s="517">
        <f t="shared" ref="D707:AF707" si="534">(1/D$242)*LN(D706+1)/1000000</f>
        <v>89.262747801610033</v>
      </c>
      <c r="E707" s="517">
        <f t="shared" si="534"/>
        <v>89.551377913985093</v>
      </c>
      <c r="F707" s="517">
        <f t="shared" si="534"/>
        <v>77.367019590511248</v>
      </c>
      <c r="G707" s="517">
        <f t="shared" si="534"/>
        <v>92.336209475762459</v>
      </c>
      <c r="H707" s="517">
        <f t="shared" si="534"/>
        <v>95.089530797810596</v>
      </c>
      <c r="I707" s="517">
        <f t="shared" si="534"/>
        <v>86.729217640685732</v>
      </c>
      <c r="J707" s="517">
        <f t="shared" si="534"/>
        <v>89.393019365678043</v>
      </c>
      <c r="K707" s="517">
        <f t="shared" si="534"/>
        <v>44.594077582546404</v>
      </c>
      <c r="L707" s="517">
        <f t="shared" si="534"/>
        <v>44.586376352704292</v>
      </c>
      <c r="M707" s="517">
        <f t="shared" si="534"/>
        <v>44.583676008461971</v>
      </c>
      <c r="N707" s="517">
        <f t="shared" si="534"/>
        <v>44.582117190903723</v>
      </c>
      <c r="O707" s="517">
        <f t="shared" si="534"/>
        <v>44.56306126449379</v>
      </c>
      <c r="P707" s="517">
        <f t="shared" si="534"/>
        <v>44.57148355507239</v>
      </c>
      <c r="Q707" s="517">
        <f t="shared" si="534"/>
        <v>44.512889760094524</v>
      </c>
      <c r="R707" s="517">
        <f t="shared" si="534"/>
        <v>28.490551125347416</v>
      </c>
      <c r="S707" s="517">
        <f t="shared" si="534"/>
        <v>28.485126374936801</v>
      </c>
      <c r="T707" s="517">
        <f t="shared" si="534"/>
        <v>28.341422864933815</v>
      </c>
      <c r="U707" s="517">
        <f t="shared" si="534"/>
        <v>28.32839622739646</v>
      </c>
      <c r="V707" s="517">
        <f t="shared" si="534"/>
        <v>28.237482071758755</v>
      </c>
      <c r="W707" s="517">
        <f t="shared" si="534"/>
        <v>28.240164585414785</v>
      </c>
      <c r="X707" s="517">
        <f t="shared" si="534"/>
        <v>28.579409193274426</v>
      </c>
      <c r="Y707" s="517">
        <f t="shared" si="534"/>
        <v>28.437306146844723</v>
      </c>
      <c r="Z707" s="517">
        <f t="shared" si="534"/>
        <v>28.372764058572219</v>
      </c>
      <c r="AA707" s="517">
        <f t="shared" si="534"/>
        <v>2572.5860530639093</v>
      </c>
      <c r="AB707" s="517">
        <f t="shared" si="534"/>
        <v>2578.1884023559887</v>
      </c>
      <c r="AC707" s="517">
        <f t="shared" si="534"/>
        <v>2577.151170960024</v>
      </c>
      <c r="AD707" s="517">
        <f t="shared" si="534"/>
        <v>2578.0682542298246</v>
      </c>
      <c r="AE707" s="517">
        <f t="shared" si="534"/>
        <v>2573.4795495838803</v>
      </c>
      <c r="AF707" s="517">
        <f t="shared" si="534"/>
        <v>2577.8105006170995</v>
      </c>
      <c r="AG707" s="204"/>
    </row>
    <row r="708" spans="1:33" x14ac:dyDescent="0.2">
      <c r="A708" s="684" t="s">
        <v>596</v>
      </c>
      <c r="C708" s="499">
        <f>C$139/(EXP(C707*1000000*C$243)-1)</f>
        <v>8.4626618149905879E-14</v>
      </c>
      <c r="D708" s="499">
        <f t="shared" ref="D708:AF708" si="535">D$139/(EXP(D707*1000000*D$243)-1)</f>
        <v>1.4530917194946148E-14</v>
      </c>
      <c r="E708" s="499">
        <f t="shared" si="535"/>
        <v>3.4360192513114615E-14</v>
      </c>
      <c r="F708" s="499">
        <f t="shared" si="535"/>
        <v>-2.7205452753563438E-14</v>
      </c>
      <c r="G708" s="499">
        <f t="shared" si="535"/>
        <v>7.7701210854065405E-14</v>
      </c>
      <c r="H708" s="499">
        <f t="shared" si="535"/>
        <v>5.5594705718487241E-14</v>
      </c>
      <c r="I708" s="499">
        <f t="shared" si="535"/>
        <v>5.0672799828519506E-14</v>
      </c>
      <c r="J708" s="499">
        <f t="shared" si="535"/>
        <v>7.6849365116495018E-14</v>
      </c>
      <c r="K708" s="499">
        <f t="shared" si="535"/>
        <v>6.3534006746719505E-12</v>
      </c>
      <c r="L708" s="499">
        <f t="shared" si="535"/>
        <v>4.451898763913315E-12</v>
      </c>
      <c r="M708" s="499">
        <f t="shared" si="535"/>
        <v>4.0941040769516507E-12</v>
      </c>
      <c r="N708" s="499">
        <f t="shared" si="535"/>
        <v>6.7285641736396301E-12</v>
      </c>
      <c r="O708" s="499">
        <f t="shared" si="535"/>
        <v>1.6159868690584688E-12</v>
      </c>
      <c r="P708" s="499">
        <f t="shared" si="535"/>
        <v>3.5334640510083664E-12</v>
      </c>
      <c r="Q708" s="499">
        <f t="shared" si="535"/>
        <v>5.892133936301812E-13</v>
      </c>
      <c r="R708" s="499">
        <f t="shared" si="535"/>
        <v>1.3498227685798995E-12</v>
      </c>
      <c r="S708" s="499">
        <f t="shared" si="535"/>
        <v>1.472039904707414E-12</v>
      </c>
      <c r="T708" s="499">
        <f t="shared" si="535"/>
        <v>1.257925495078002E-12</v>
      </c>
      <c r="U708" s="499">
        <f t="shared" si="535"/>
        <v>9.1629885062514396E-13</v>
      </c>
      <c r="V708" s="499">
        <f t="shared" si="535"/>
        <v>3.4056705824087167E-13</v>
      </c>
      <c r="W708" s="499">
        <f t="shared" si="535"/>
        <v>2.5909731258977938E-13</v>
      </c>
      <c r="X708" s="499">
        <f t="shared" si="535"/>
        <v>9.5773034452293707E-13</v>
      </c>
      <c r="Y708" s="499">
        <f t="shared" si="535"/>
        <v>7.0191402098759695E-13</v>
      </c>
      <c r="Z708" s="499">
        <f t="shared" si="535"/>
        <v>4.322223791766915E-13</v>
      </c>
      <c r="AA708" s="499">
        <f t="shared" si="535"/>
        <v>4.5646031803598933E-12</v>
      </c>
      <c r="AB708" s="499">
        <f t="shared" si="535"/>
        <v>4.5723944583151105E-12</v>
      </c>
      <c r="AC708" s="499">
        <f t="shared" si="535"/>
        <v>2.4667118084515256E-12</v>
      </c>
      <c r="AD708" s="499">
        <f t="shared" si="535"/>
        <v>7.2050103051034737E-12</v>
      </c>
      <c r="AE708" s="499">
        <f t="shared" si="535"/>
        <v>6.7187963449002073E-12</v>
      </c>
      <c r="AF708" s="499">
        <f t="shared" si="535"/>
        <v>5.7146686701525705E-12</v>
      </c>
      <c r="AG708" s="204"/>
    </row>
    <row r="709" spans="1:33" s="85" customFormat="1" x14ac:dyDescent="0.2">
      <c r="A709" s="684" t="s">
        <v>597</v>
      </c>
      <c r="B709" s="223"/>
      <c r="C709" s="205">
        <f>C708/(C$127+C$130)</f>
        <v>6.3401108506974377E-2</v>
      </c>
      <c r="D709" s="205">
        <f t="shared" ref="D709:AF709" si="536">D708/(D$127+D$130)</f>
        <v>0.19115217176330135</v>
      </c>
      <c r="E709" s="205">
        <f t="shared" si="536"/>
        <v>0.22570784003469044</v>
      </c>
      <c r="F709" s="205">
        <f t="shared" si="536"/>
        <v>-0.10740271176817892</v>
      </c>
      <c r="G709" s="205">
        <f t="shared" si="536"/>
        <v>0.23747617290195761</v>
      </c>
      <c r="H709" s="205">
        <f t="shared" si="536"/>
        <v>0.38611365593073532</v>
      </c>
      <c r="I709" s="205">
        <f t="shared" si="536"/>
        <v>0.20761400049308432</v>
      </c>
      <c r="J709" s="205">
        <f t="shared" si="536"/>
        <v>0.38777735162893023</v>
      </c>
      <c r="K709" s="205">
        <f t="shared" si="536"/>
        <v>0.60193069371846664</v>
      </c>
      <c r="L709" s="205">
        <f t="shared" si="536"/>
        <v>0.59410613946104929</v>
      </c>
      <c r="M709" s="205">
        <f t="shared" si="536"/>
        <v>0.59139833858332491</v>
      </c>
      <c r="N709" s="205">
        <f t="shared" si="536"/>
        <v>0.62250332747232828</v>
      </c>
      <c r="O709" s="205">
        <f t="shared" si="536"/>
        <v>0.57374907527521779</v>
      </c>
      <c r="P709" s="205">
        <f t="shared" si="536"/>
        <v>0.60555859026077385</v>
      </c>
      <c r="Q709" s="205">
        <f t="shared" si="536"/>
        <v>0.52103098854202767</v>
      </c>
      <c r="R709" s="205">
        <f t="shared" si="536"/>
        <v>0.77164528851019787</v>
      </c>
      <c r="S709" s="205">
        <f t="shared" si="536"/>
        <v>0.87245674512620652</v>
      </c>
      <c r="T709" s="205">
        <f t="shared" si="536"/>
        <v>0.83628341238262216</v>
      </c>
      <c r="U709" s="205">
        <f t="shared" si="536"/>
        <v>1.0808894817060657</v>
      </c>
      <c r="V709" s="205">
        <f t="shared" si="536"/>
        <v>0.77454959197845819</v>
      </c>
      <c r="W709" s="205">
        <f t="shared" si="536"/>
        <v>0.68251302101332967</v>
      </c>
      <c r="X709" s="205">
        <f t="shared" si="536"/>
        <v>0.60017714086575014</v>
      </c>
      <c r="Y709" s="205">
        <f t="shared" si="536"/>
        <v>0.66696083535437889</v>
      </c>
      <c r="Z709" s="205">
        <f t="shared" si="536"/>
        <v>0.4618673079920686</v>
      </c>
      <c r="AA709" s="205">
        <f t="shared" si="536"/>
        <v>0.41203879538341176</v>
      </c>
      <c r="AB709" s="205">
        <f t="shared" si="536"/>
        <v>0.33617704613458455</v>
      </c>
      <c r="AC709" s="205">
        <f t="shared" si="536"/>
        <v>0.38818075653864847</v>
      </c>
      <c r="AD709" s="205">
        <f t="shared" si="536"/>
        <v>0.46263320633432248</v>
      </c>
      <c r="AE709" s="205">
        <f t="shared" si="536"/>
        <v>0.47848744770577833</v>
      </c>
      <c r="AF709" s="205">
        <f t="shared" si="536"/>
        <v>0.39996281322296623</v>
      </c>
      <c r="AG709" s="219"/>
    </row>
    <row r="710" spans="1:33" x14ac:dyDescent="0.2">
      <c r="A710" s="198" t="s">
        <v>576</v>
      </c>
      <c r="C710" s="680">
        <f>C$71-((C$242/C$244)*((C709/C$672)*C$674-1))</f>
        <v>1.2884764013064929E-2</v>
      </c>
      <c r="D710" s="680">
        <f t="shared" ref="D710:AF710" si="537">D$71-((D$242/D$244)*((D709/D$672)*D$674-1))</f>
        <v>1.3943195875044279E-2</v>
      </c>
      <c r="E710" s="680">
        <f t="shared" si="537"/>
        <v>1.39885949266746E-2</v>
      </c>
      <c r="F710" s="680">
        <f t="shared" si="537"/>
        <v>1.2073866600945435E-2</v>
      </c>
      <c r="G710" s="680">
        <f t="shared" si="537"/>
        <v>1.4426729583296185E-2</v>
      </c>
      <c r="H710" s="680">
        <f t="shared" si="537"/>
        <v>1.4860092879080612E-2</v>
      </c>
      <c r="I710" s="680">
        <f t="shared" si="537"/>
        <v>1.3544780436036923E-2</v>
      </c>
      <c r="J710" s="680">
        <f t="shared" si="537"/>
        <v>1.3963686227808159E-2</v>
      </c>
      <c r="K710" s="680">
        <f t="shared" si="537"/>
        <v>6.9416385376644451E-3</v>
      </c>
      <c r="L710" s="680">
        <f t="shared" si="537"/>
        <v>6.9404355922524363E-3</v>
      </c>
      <c r="M710" s="680">
        <f t="shared" si="537"/>
        <v>6.940013794154814E-3</v>
      </c>
      <c r="N710" s="680">
        <f t="shared" si="537"/>
        <v>6.9397703044350263E-3</v>
      </c>
      <c r="O710" s="680">
        <f t="shared" si="537"/>
        <v>6.9367937439379504E-3</v>
      </c>
      <c r="P710" s="680">
        <f t="shared" si="537"/>
        <v>6.9381093155985885E-3</v>
      </c>
      <c r="Q710" s="680">
        <f t="shared" si="537"/>
        <v>6.9289569317572304E-3</v>
      </c>
      <c r="R710" s="680">
        <f t="shared" si="537"/>
        <v>4.4293775647933579E-3</v>
      </c>
      <c r="S710" s="680">
        <f t="shared" si="537"/>
        <v>4.4285323233566945E-3</v>
      </c>
      <c r="T710" s="680">
        <f t="shared" si="537"/>
        <v>4.40614184505915E-3</v>
      </c>
      <c r="U710" s="680">
        <f t="shared" si="537"/>
        <v>4.4041121862193706E-3</v>
      </c>
      <c r="V710" s="680">
        <f t="shared" si="537"/>
        <v>4.3899471162602566E-3</v>
      </c>
      <c r="W710" s="680">
        <f t="shared" si="537"/>
        <v>4.3903650680446969E-3</v>
      </c>
      <c r="X710" s="680">
        <f t="shared" si="537"/>
        <v>4.4432228230204011E-3</v>
      </c>
      <c r="Y710" s="680">
        <f t="shared" si="537"/>
        <v>4.4210813867572056E-3</v>
      </c>
      <c r="Z710" s="680">
        <f t="shared" si="537"/>
        <v>4.4110250813851207E-3</v>
      </c>
      <c r="AA710" s="680">
        <f t="shared" si="537"/>
        <v>0.4904415397800318</v>
      </c>
      <c r="AB710" s="680">
        <f t="shared" si="537"/>
        <v>0.4917373925213166</v>
      </c>
      <c r="AC710" s="680">
        <f t="shared" si="537"/>
        <v>0.49149739050745267</v>
      </c>
      <c r="AD710" s="680">
        <f t="shared" si="537"/>
        <v>0.4917095898116009</v>
      </c>
      <c r="AE710" s="680">
        <f t="shared" si="537"/>
        <v>0.49064813473114632</v>
      </c>
      <c r="AF710" s="680">
        <f t="shared" si="537"/>
        <v>0.49164994644424165</v>
      </c>
      <c r="AG710" s="217"/>
    </row>
    <row r="711" spans="1:33" s="45" customFormat="1" x14ac:dyDescent="0.2">
      <c r="A711" s="46" t="s">
        <v>577</v>
      </c>
      <c r="B711" s="44"/>
      <c r="C711" s="683">
        <f>(1/C$242)*LN(C710+1)/1000000</f>
        <v>82.529970357127596</v>
      </c>
      <c r="D711" s="683">
        <f t="shared" ref="D711:AF711" si="538">(1/D$242)*LN(D710+1)/1000000</f>
        <v>89.262747801610033</v>
      </c>
      <c r="E711" s="683">
        <f t="shared" si="538"/>
        <v>89.551377913985093</v>
      </c>
      <c r="F711" s="683">
        <f t="shared" si="538"/>
        <v>77.367019590511248</v>
      </c>
      <c r="G711" s="683">
        <f t="shared" si="538"/>
        <v>92.336209475762459</v>
      </c>
      <c r="H711" s="683">
        <f t="shared" si="538"/>
        <v>95.089530797810596</v>
      </c>
      <c r="I711" s="683">
        <f t="shared" si="538"/>
        <v>86.729217640685732</v>
      </c>
      <c r="J711" s="683">
        <f t="shared" si="538"/>
        <v>89.393019365678043</v>
      </c>
      <c r="K711" s="683">
        <f t="shared" si="538"/>
        <v>44.594077582546404</v>
      </c>
      <c r="L711" s="683">
        <f t="shared" si="538"/>
        <v>44.586376352704292</v>
      </c>
      <c r="M711" s="683">
        <f t="shared" si="538"/>
        <v>44.583676008461971</v>
      </c>
      <c r="N711" s="683">
        <f t="shared" si="538"/>
        <v>44.582117190903723</v>
      </c>
      <c r="O711" s="683">
        <f t="shared" si="538"/>
        <v>44.56306126449379</v>
      </c>
      <c r="P711" s="683">
        <f t="shared" si="538"/>
        <v>44.57148355507239</v>
      </c>
      <c r="Q711" s="683">
        <f t="shared" si="538"/>
        <v>44.512889760094524</v>
      </c>
      <c r="R711" s="683">
        <f t="shared" si="538"/>
        <v>28.490551125347416</v>
      </c>
      <c r="S711" s="683">
        <f t="shared" si="538"/>
        <v>28.485126374936801</v>
      </c>
      <c r="T711" s="683">
        <f t="shared" si="538"/>
        <v>28.341422864933815</v>
      </c>
      <c r="U711" s="683">
        <f t="shared" si="538"/>
        <v>28.32839622739646</v>
      </c>
      <c r="V711" s="683">
        <f t="shared" si="538"/>
        <v>28.237482071758755</v>
      </c>
      <c r="W711" s="683">
        <f t="shared" si="538"/>
        <v>28.24016458541621</v>
      </c>
      <c r="X711" s="683">
        <f t="shared" si="538"/>
        <v>28.579409193274426</v>
      </c>
      <c r="Y711" s="683">
        <f t="shared" si="538"/>
        <v>28.437306146844723</v>
      </c>
      <c r="Z711" s="683">
        <f t="shared" si="538"/>
        <v>28.372764058572219</v>
      </c>
      <c r="AA711" s="683">
        <f t="shared" si="538"/>
        <v>2572.5860530639093</v>
      </c>
      <c r="AB711" s="683">
        <f t="shared" si="538"/>
        <v>2578.1884023559887</v>
      </c>
      <c r="AC711" s="683">
        <f t="shared" si="538"/>
        <v>2577.151170960024</v>
      </c>
      <c r="AD711" s="683">
        <f t="shared" si="538"/>
        <v>2578.0682542298246</v>
      </c>
      <c r="AE711" s="683">
        <f t="shared" si="538"/>
        <v>2573.4795495838803</v>
      </c>
      <c r="AF711" s="683">
        <f t="shared" si="538"/>
        <v>2577.8105006170995</v>
      </c>
      <c r="AG711" s="218"/>
    </row>
    <row r="712" spans="1:33" s="85" customFormat="1" x14ac:dyDescent="0.2">
      <c r="A712" s="198" t="s">
        <v>578</v>
      </c>
      <c r="B712" s="223"/>
      <c r="C712" s="87">
        <f t="shared" ref="C712:AF712" si="539">C710*C127</f>
        <v>1.7074506901580126E-14</v>
      </c>
      <c r="D712" s="86">
        <f t="shared" si="539"/>
        <v>1.0522954356856185E-15</v>
      </c>
      <c r="E712" s="86">
        <f t="shared" si="539"/>
        <v>2.1141928753183354E-15</v>
      </c>
      <c r="F712" s="86">
        <f t="shared" si="539"/>
        <v>3.0363277665161317E-15</v>
      </c>
      <c r="G712" s="86">
        <f t="shared" si="539"/>
        <v>4.6863767919792E-15</v>
      </c>
      <c r="H712" s="86">
        <f t="shared" si="539"/>
        <v>2.1242291520146024E-15</v>
      </c>
      <c r="I712" s="86">
        <f t="shared" si="539"/>
        <v>3.282099934605214E-15</v>
      </c>
      <c r="J712" s="86">
        <f t="shared" si="539"/>
        <v>2.7473848053994677E-15</v>
      </c>
      <c r="K712" s="86">
        <f t="shared" si="539"/>
        <v>7.2741678439916427E-14</v>
      </c>
      <c r="L712" s="86">
        <f t="shared" si="539"/>
        <v>5.1633258635345756E-14</v>
      </c>
      <c r="M712" s="86">
        <f t="shared" si="539"/>
        <v>4.7698056006676027E-14</v>
      </c>
      <c r="N712" s="86">
        <f t="shared" si="539"/>
        <v>7.4471034149782093E-14</v>
      </c>
      <c r="O712" s="86">
        <f t="shared" si="539"/>
        <v>1.9397071979061598E-14</v>
      </c>
      <c r="P712" s="86">
        <f t="shared" si="539"/>
        <v>4.0192702922023595E-14</v>
      </c>
      <c r="Q712" s="86">
        <f t="shared" si="539"/>
        <v>7.7792635550902128E-15</v>
      </c>
      <c r="R712" s="86">
        <f t="shared" si="539"/>
        <v>7.6924256818346935E-15</v>
      </c>
      <c r="S712" s="86">
        <f t="shared" si="539"/>
        <v>7.4181748286445984E-15</v>
      </c>
      <c r="T712" s="86">
        <f t="shared" si="539"/>
        <v>6.5799330937278323E-15</v>
      </c>
      <c r="U712" s="86">
        <f t="shared" si="539"/>
        <v>3.7066005963320972E-15</v>
      </c>
      <c r="V712" s="86">
        <f t="shared" si="539"/>
        <v>1.9163474975847423E-15</v>
      </c>
      <c r="W712" s="86">
        <f t="shared" si="539"/>
        <v>1.6546805739214717E-15</v>
      </c>
      <c r="X712" s="86">
        <f t="shared" si="539"/>
        <v>7.0392024775062095E-15</v>
      </c>
      <c r="Y712" s="86">
        <f t="shared" si="539"/>
        <v>4.6192733411470109E-15</v>
      </c>
      <c r="Z712" s="86">
        <f t="shared" si="539"/>
        <v>4.0981808603937841E-15</v>
      </c>
      <c r="AA712" s="86">
        <f t="shared" si="539"/>
        <v>5.3940346739886381E-12</v>
      </c>
      <c r="AB712" s="86">
        <f t="shared" si="539"/>
        <v>6.6400359967314626E-12</v>
      </c>
      <c r="AC712" s="86">
        <f t="shared" si="539"/>
        <v>3.1007531532906314E-12</v>
      </c>
      <c r="AD712" s="86">
        <f t="shared" si="539"/>
        <v>7.6027034328153792E-12</v>
      </c>
      <c r="AE712" s="86">
        <f t="shared" si="539"/>
        <v>6.8399455901362808E-12</v>
      </c>
      <c r="AF712" s="86">
        <f t="shared" si="539"/>
        <v>6.9741133913602649E-12</v>
      </c>
      <c r="AG712" s="86"/>
    </row>
    <row r="713" spans="1:33" x14ac:dyDescent="0.2">
      <c r="A713" s="198" t="s">
        <v>579</v>
      </c>
      <c r="C713" s="679">
        <f>C$139/(EXP(C711*1000000*C$243)-1)</f>
        <v>8.4626618149905879E-14</v>
      </c>
      <c r="D713" s="682">
        <f t="shared" ref="D713:AF713" si="540">D$139/(EXP(D711*1000000*D$243)-1)</f>
        <v>1.4530917194946148E-14</v>
      </c>
      <c r="E713" s="682">
        <f t="shared" si="540"/>
        <v>3.4360192513114615E-14</v>
      </c>
      <c r="F713" s="682">
        <f t="shared" si="540"/>
        <v>-2.7205452753563438E-14</v>
      </c>
      <c r="G713" s="682">
        <f t="shared" si="540"/>
        <v>7.7701210854065405E-14</v>
      </c>
      <c r="H713" s="682">
        <f t="shared" si="540"/>
        <v>5.5594705718487241E-14</v>
      </c>
      <c r="I713" s="682">
        <f t="shared" si="540"/>
        <v>5.0672799828519506E-14</v>
      </c>
      <c r="J713" s="682">
        <f t="shared" si="540"/>
        <v>7.6849365116495018E-14</v>
      </c>
      <c r="K713" s="682">
        <f t="shared" si="540"/>
        <v>6.3534006746719505E-12</v>
      </c>
      <c r="L713" s="682">
        <f t="shared" si="540"/>
        <v>4.451898763913315E-12</v>
      </c>
      <c r="M713" s="682">
        <f t="shared" si="540"/>
        <v>4.0941040769516507E-12</v>
      </c>
      <c r="N713" s="682">
        <f t="shared" si="540"/>
        <v>6.7285641736396301E-12</v>
      </c>
      <c r="O713" s="682">
        <f t="shared" si="540"/>
        <v>1.6159868690584688E-12</v>
      </c>
      <c r="P713" s="682">
        <f t="shared" si="540"/>
        <v>3.5334640510083664E-12</v>
      </c>
      <c r="Q713" s="682">
        <f t="shared" si="540"/>
        <v>5.892133936301812E-13</v>
      </c>
      <c r="R713" s="682">
        <f t="shared" si="540"/>
        <v>1.3498227685798995E-12</v>
      </c>
      <c r="S713" s="682">
        <f t="shared" si="540"/>
        <v>1.472039904707414E-12</v>
      </c>
      <c r="T713" s="682">
        <f t="shared" si="540"/>
        <v>1.257925495078002E-12</v>
      </c>
      <c r="U713" s="682">
        <f t="shared" si="540"/>
        <v>9.1629885062514396E-13</v>
      </c>
      <c r="V713" s="682">
        <f t="shared" si="540"/>
        <v>3.4056705824087167E-13</v>
      </c>
      <c r="W713" s="682">
        <f t="shared" si="540"/>
        <v>2.5909731258977938E-13</v>
      </c>
      <c r="X713" s="682">
        <f t="shared" si="540"/>
        <v>9.5773034452293707E-13</v>
      </c>
      <c r="Y713" s="682">
        <f t="shared" si="540"/>
        <v>7.0191402098759695E-13</v>
      </c>
      <c r="Z713" s="682">
        <f t="shared" si="540"/>
        <v>4.322223791766915E-13</v>
      </c>
      <c r="AA713" s="682">
        <f t="shared" si="540"/>
        <v>4.5646031803598933E-12</v>
      </c>
      <c r="AB713" s="682">
        <f t="shared" si="540"/>
        <v>4.5723944583151105E-12</v>
      </c>
      <c r="AC713" s="682">
        <f t="shared" si="540"/>
        <v>2.4667118084515256E-12</v>
      </c>
      <c r="AD713" s="682">
        <f t="shared" si="540"/>
        <v>7.2050103051034737E-12</v>
      </c>
      <c r="AE713" s="682">
        <f t="shared" si="540"/>
        <v>6.7187963449002073E-12</v>
      </c>
      <c r="AF713" s="682">
        <f t="shared" si="540"/>
        <v>5.7146686701525705E-12</v>
      </c>
      <c r="AG713" s="204"/>
    </row>
    <row r="714" spans="1:33" x14ac:dyDescent="0.2">
      <c r="A714" s="5" t="s">
        <v>580</v>
      </c>
      <c r="C714" s="678">
        <f>C713/(C$127+C$130)</f>
        <v>6.3401108506974377E-2</v>
      </c>
      <c r="D714" s="680">
        <f t="shared" ref="D714:AF714" si="541">D713/(D$127+D$130)</f>
        <v>0.19115217176330135</v>
      </c>
      <c r="E714" s="680">
        <f t="shared" si="541"/>
        <v>0.22570784003469044</v>
      </c>
      <c r="F714" s="680">
        <f t="shared" si="541"/>
        <v>-0.10740271176817892</v>
      </c>
      <c r="G714" s="680">
        <f t="shared" si="541"/>
        <v>0.23747617290195761</v>
      </c>
      <c r="H714" s="680">
        <f t="shared" si="541"/>
        <v>0.38611365593073532</v>
      </c>
      <c r="I714" s="680">
        <f t="shared" si="541"/>
        <v>0.20761400049308432</v>
      </c>
      <c r="J714" s="680">
        <f t="shared" si="541"/>
        <v>0.38777735162893023</v>
      </c>
      <c r="K714" s="680">
        <f t="shared" si="541"/>
        <v>0.60193069371846664</v>
      </c>
      <c r="L714" s="680">
        <f t="shared" si="541"/>
        <v>0.59410613946104929</v>
      </c>
      <c r="M714" s="680">
        <f t="shared" si="541"/>
        <v>0.59139833858332491</v>
      </c>
      <c r="N714" s="680">
        <f t="shared" si="541"/>
        <v>0.62250332747232828</v>
      </c>
      <c r="O714" s="680">
        <f t="shared" si="541"/>
        <v>0.57374907527521779</v>
      </c>
      <c r="P714" s="680">
        <f t="shared" si="541"/>
        <v>0.60555859026077385</v>
      </c>
      <c r="Q714" s="680">
        <f t="shared" si="541"/>
        <v>0.52103098854202767</v>
      </c>
      <c r="R714" s="680">
        <f t="shared" si="541"/>
        <v>0.77164528851019787</v>
      </c>
      <c r="S714" s="680">
        <f t="shared" si="541"/>
        <v>0.87245674512620652</v>
      </c>
      <c r="T714" s="680">
        <f t="shared" si="541"/>
        <v>0.83628341238262216</v>
      </c>
      <c r="U714" s="680">
        <f t="shared" si="541"/>
        <v>1.0808894817060657</v>
      </c>
      <c r="V714" s="680">
        <f t="shared" si="541"/>
        <v>0.77454959197845819</v>
      </c>
      <c r="W714" s="680">
        <f t="shared" si="541"/>
        <v>0.68251302101332967</v>
      </c>
      <c r="X714" s="680">
        <f t="shared" si="541"/>
        <v>0.60017714086575014</v>
      </c>
      <c r="Y714" s="680">
        <f t="shared" si="541"/>
        <v>0.66696083535437889</v>
      </c>
      <c r="Z714" s="680">
        <f t="shared" si="541"/>
        <v>0.4618673079920686</v>
      </c>
      <c r="AA714" s="680">
        <f t="shared" si="541"/>
        <v>0.41203879538341176</v>
      </c>
      <c r="AB714" s="680">
        <f t="shared" si="541"/>
        <v>0.33617704613458455</v>
      </c>
      <c r="AC714" s="680">
        <f t="shared" si="541"/>
        <v>0.38818075653864847</v>
      </c>
      <c r="AD714" s="680">
        <f t="shared" si="541"/>
        <v>0.46263320633432248</v>
      </c>
      <c r="AE714" s="680">
        <f t="shared" si="541"/>
        <v>0.47848744770577833</v>
      </c>
      <c r="AF714" s="680">
        <f t="shared" si="541"/>
        <v>0.39996281322296623</v>
      </c>
      <c r="AG714" s="219"/>
    </row>
    <row r="715" spans="1:33" x14ac:dyDescent="0.2">
      <c r="A715" s="44" t="s">
        <v>472</v>
      </c>
      <c r="C715" s="678">
        <f t="shared" ref="C715:AF715" si="542">C714*SQRT((C143/C142)^2+(C128/C127)^2)</f>
        <v>1.6674975153356659E-2</v>
      </c>
      <c r="D715" s="680">
        <f t="shared" si="542"/>
        <v>0.21356325791055758</v>
      </c>
      <c r="E715" s="680">
        <f t="shared" si="542"/>
        <v>0.15043672370832378</v>
      </c>
      <c r="F715" s="680">
        <f t="shared" si="542"/>
        <v>-0.33108193531654034</v>
      </c>
      <c r="G715" s="680">
        <f t="shared" si="542"/>
        <v>0.19505877131506785</v>
      </c>
      <c r="H715" s="680">
        <f t="shared" si="542"/>
        <v>0.20288828318404695</v>
      </c>
      <c r="I715" s="680">
        <f t="shared" si="542"/>
        <v>0.10710576187780191</v>
      </c>
      <c r="J715" s="680">
        <f t="shared" si="542"/>
        <v>0.12328337575921396</v>
      </c>
      <c r="K715" s="680">
        <f t="shared" si="542"/>
        <v>8.615765780791842E-4</v>
      </c>
      <c r="L715" s="680">
        <f t="shared" si="542"/>
        <v>1.2248163441571321E-3</v>
      </c>
      <c r="M715" s="680">
        <f t="shared" si="542"/>
        <v>1.1933535096353449E-3</v>
      </c>
      <c r="N715" s="680">
        <f t="shared" si="542"/>
        <v>1.0614639015540566E-3</v>
      </c>
      <c r="O715" s="680">
        <f t="shared" si="542"/>
        <v>1.9714106765807765E-3</v>
      </c>
      <c r="P715" s="680">
        <f t="shared" si="542"/>
        <v>1.234731745996144E-3</v>
      </c>
      <c r="Q715" s="680">
        <f t="shared" si="542"/>
        <v>3.9538249822236599E-3</v>
      </c>
      <c r="R715" s="680">
        <f t="shared" si="542"/>
        <v>7.0901068787154672E-3</v>
      </c>
      <c r="S715" s="680">
        <f t="shared" si="542"/>
        <v>7.7026603570646748E-3</v>
      </c>
      <c r="T715" s="680">
        <f t="shared" si="542"/>
        <v>8.8497167819271329E-3</v>
      </c>
      <c r="U715" s="680">
        <f t="shared" si="542"/>
        <v>1.4307957215234233E-2</v>
      </c>
      <c r="V715" s="680">
        <f t="shared" si="542"/>
        <v>1.8374005306409296E-2</v>
      </c>
      <c r="W715" s="680">
        <f t="shared" si="542"/>
        <v>2.7031055657192254E-2</v>
      </c>
      <c r="X715" s="680">
        <f t="shared" si="542"/>
        <v>6.2449347774154798E-3</v>
      </c>
      <c r="Y715" s="680">
        <f t="shared" si="542"/>
        <v>1.1293010296425035E-2</v>
      </c>
      <c r="Z715" s="680">
        <f t="shared" si="542"/>
        <v>1.2433175098425772E-2</v>
      </c>
      <c r="AA715" s="680">
        <f t="shared" si="542"/>
        <v>2.7242894281853387E-4</v>
      </c>
      <c r="AB715" s="680">
        <f t="shared" si="542"/>
        <v>2.3458299629310043E-4</v>
      </c>
      <c r="AC715" s="680">
        <f t="shared" si="542"/>
        <v>2.6410752232975066E-4</v>
      </c>
      <c r="AD715" s="680">
        <f t="shared" si="542"/>
        <v>3.0280686690190999E-4</v>
      </c>
      <c r="AE715" s="680">
        <f t="shared" si="542"/>
        <v>3.2018430496305112E-4</v>
      </c>
      <c r="AF715" s="680">
        <f t="shared" si="542"/>
        <v>2.730773489245198E-4</v>
      </c>
      <c r="AG715" s="219"/>
    </row>
    <row r="716" spans="1:33" x14ac:dyDescent="0.2">
      <c r="A716" s="198" t="s">
        <v>581</v>
      </c>
      <c r="C716" s="680">
        <f>C$71-((C$242/C$244)*(C676*C$674-1))</f>
        <v>1.2881746434560566E-2</v>
      </c>
      <c r="D716" s="680">
        <f>D$71-((D$242/D$244)*(D676*D$674-1))</f>
        <v>1.3940896708129098E-2</v>
      </c>
      <c r="E716" s="680">
        <f t="shared" ref="E716:AF716" si="543">E$71-((E$242/E$244)*(E676*E$674-1))</f>
        <v>1.39864900845026E-2</v>
      </c>
      <c r="F716" s="680">
        <f t="shared" si="543"/>
        <v>1.2069888502498342E-2</v>
      </c>
      <c r="G716" s="680">
        <f t="shared" si="543"/>
        <v>1.4424690920665095E-2</v>
      </c>
      <c r="H716" s="680">
        <f t="shared" si="543"/>
        <v>1.4858890083390064E-2</v>
      </c>
      <c r="I716" s="680">
        <f t="shared" si="543"/>
        <v>1.3542573842664673E-2</v>
      </c>
      <c r="J716" s="680">
        <f t="shared" si="543"/>
        <v>1.3962492787955754E-2</v>
      </c>
      <c r="K716" s="680">
        <f t="shared" si="543"/>
        <v>6.9416493949732393E-3</v>
      </c>
      <c r="L716" s="680">
        <f t="shared" si="543"/>
        <v>6.9404024479669153E-3</v>
      </c>
      <c r="M716" s="680">
        <f t="shared" si="543"/>
        <v>6.9399654224771897E-3</v>
      </c>
      <c r="N716" s="680">
        <f t="shared" si="543"/>
        <v>6.9398968525109421E-3</v>
      </c>
      <c r="O716" s="680">
        <f t="shared" si="543"/>
        <v>6.9366461211466538E-3</v>
      </c>
      <c r="P716" s="680">
        <f t="shared" si="543"/>
        <v>6.938140574482555E-3</v>
      </c>
      <c r="Q716" s="680">
        <f t="shared" si="543"/>
        <v>6.9285128473670762E-3</v>
      </c>
      <c r="R716" s="680">
        <f t="shared" si="543"/>
        <v>4.4303428167556617E-3</v>
      </c>
      <c r="S716" s="680">
        <f t="shared" si="543"/>
        <v>4.4300644912953465E-3</v>
      </c>
      <c r="T716" s="680">
        <f t="shared" si="543"/>
        <v>4.4074705912743343E-3</v>
      </c>
      <c r="U716" s="680">
        <f t="shared" si="543"/>
        <v>4.4068164813380823E-3</v>
      </c>
      <c r="V716" s="680">
        <f t="shared" si="543"/>
        <v>4.3909287006523414E-3</v>
      </c>
      <c r="W716" s="680">
        <f t="shared" si="543"/>
        <v>4.3908290822692641E-3</v>
      </c>
      <c r="X716" s="680">
        <f t="shared" si="543"/>
        <v>4.4432238191768917E-3</v>
      </c>
      <c r="Y716" s="680">
        <f t="shared" si="543"/>
        <v>4.4214579428414674E-3</v>
      </c>
      <c r="Z716" s="680">
        <f t="shared" si="543"/>
        <v>4.4102482884234486E-3</v>
      </c>
      <c r="AA716" s="680">
        <f t="shared" si="543"/>
        <v>0.49044048277507019</v>
      </c>
      <c r="AB716" s="680">
        <f t="shared" si="543"/>
        <v>0.49173590890573865</v>
      </c>
      <c r="AC716" s="680">
        <f t="shared" si="543"/>
        <v>0.49149619933615879</v>
      </c>
      <c r="AD716" s="680">
        <f t="shared" si="543"/>
        <v>0.4917088173256895</v>
      </c>
      <c r="AE716" s="680">
        <f t="shared" si="543"/>
        <v>0.49064745140199373</v>
      </c>
      <c r="AF716" s="680">
        <f t="shared" si="543"/>
        <v>0.49164882152966494</v>
      </c>
      <c r="AG716" s="217"/>
    </row>
    <row r="717" spans="1:33" s="45" customFormat="1" x14ac:dyDescent="0.2">
      <c r="A717" s="46" t="s">
        <v>582</v>
      </c>
      <c r="B717" s="44"/>
      <c r="C717" s="683">
        <f>(1/C$242)*LN(C716+1)/1000000</f>
        <v>82.510765220932356</v>
      </c>
      <c r="D717" s="683">
        <f>(1/D$242)*LN(D716+1)/1000000</f>
        <v>89.248130218423114</v>
      </c>
      <c r="E717" s="683">
        <f t="shared" ref="E717:AF717" si="544">(1/E$242)*LN(E716+1)/1000000</f>
        <v>89.537996403995436</v>
      </c>
      <c r="F717" s="683">
        <f t="shared" si="544"/>
        <v>77.34168100457083</v>
      </c>
      <c r="G717" s="683">
        <f t="shared" si="544"/>
        <v>92.323254299680855</v>
      </c>
      <c r="H717" s="683">
        <f t="shared" si="544"/>
        <v>95.081890607950086</v>
      </c>
      <c r="I717" s="683">
        <f t="shared" si="544"/>
        <v>86.715183105095562</v>
      </c>
      <c r="J717" s="683">
        <f t="shared" si="544"/>
        <v>89.385431902516075</v>
      </c>
      <c r="K717" s="683">
        <f t="shared" si="544"/>
        <v>44.594147090754795</v>
      </c>
      <c r="L717" s="683">
        <f t="shared" si="544"/>
        <v>44.586164163593281</v>
      </c>
      <c r="M717" s="683">
        <f t="shared" si="544"/>
        <v>44.583366333731767</v>
      </c>
      <c r="N717" s="683">
        <f t="shared" si="544"/>
        <v>44.582927349847445</v>
      </c>
      <c r="O717" s="683">
        <f t="shared" si="544"/>
        <v>44.562116182606566</v>
      </c>
      <c r="P717" s="683">
        <f t="shared" si="544"/>
        <v>44.571683674332611</v>
      </c>
      <c r="Q717" s="683">
        <f t="shared" si="544"/>
        <v>44.510046706945353</v>
      </c>
      <c r="R717" s="683">
        <f t="shared" si="544"/>
        <v>28.496746096429668</v>
      </c>
      <c r="S717" s="683">
        <f t="shared" si="544"/>
        <v>28.494959808853316</v>
      </c>
      <c r="T717" s="683">
        <f t="shared" si="544"/>
        <v>28.349950931842137</v>
      </c>
      <c r="U717" s="683">
        <f t="shared" si="544"/>
        <v>28.345752770172297</v>
      </c>
      <c r="V717" s="683">
        <f t="shared" si="544"/>
        <v>28.243782111371477</v>
      </c>
      <c r="W717" s="683">
        <f t="shared" si="544"/>
        <v>28.24314273742743</v>
      </c>
      <c r="X717" s="683">
        <f t="shared" si="544"/>
        <v>28.57941558650521</v>
      </c>
      <c r="Y717" s="683">
        <f t="shared" si="544"/>
        <v>28.439722898217472</v>
      </c>
      <c r="Z717" s="683">
        <f t="shared" si="544"/>
        <v>28.367778518811708</v>
      </c>
      <c r="AA717" s="683">
        <f t="shared" si="544"/>
        <v>2572.5814813353231</v>
      </c>
      <c r="AB717" s="683">
        <f t="shared" si="544"/>
        <v>2578.1819910363379</v>
      </c>
      <c r="AC717" s="683">
        <f t="shared" si="544"/>
        <v>2577.1460225858882</v>
      </c>
      <c r="AD717" s="683">
        <f t="shared" si="544"/>
        <v>2578.0649159356567</v>
      </c>
      <c r="AE717" s="683">
        <f t="shared" si="544"/>
        <v>2573.4765944775418</v>
      </c>
      <c r="AF717" s="683">
        <f t="shared" si="544"/>
        <v>2577.8056391091877</v>
      </c>
      <c r="AG717" s="218"/>
    </row>
    <row r="718" spans="1:33" s="85" customFormat="1" x14ac:dyDescent="0.2">
      <c r="A718" s="198" t="s">
        <v>583</v>
      </c>
      <c r="B718" s="223"/>
      <c r="C718" s="87">
        <f t="shared" ref="C718:AF718" si="545">C716*C127</f>
        <v>1.7070508096095868E-14</v>
      </c>
      <c r="D718" s="87">
        <f t="shared" si="545"/>
        <v>1.0521219171556913E-15</v>
      </c>
      <c r="E718" s="87">
        <f t="shared" si="545"/>
        <v>2.1138747559970572E-15</v>
      </c>
      <c r="F718" s="87">
        <f t="shared" si="545"/>
        <v>3.0353273570224659E-15</v>
      </c>
      <c r="G718" s="87">
        <f t="shared" si="545"/>
        <v>4.6857145530992201E-15</v>
      </c>
      <c r="H718" s="87">
        <f t="shared" si="545"/>
        <v>2.1240572140805279E-15</v>
      </c>
      <c r="I718" s="87">
        <f t="shared" si="545"/>
        <v>3.2815652445083932E-15</v>
      </c>
      <c r="J718" s="87">
        <f t="shared" si="545"/>
        <v>2.7471499935837936E-15</v>
      </c>
      <c r="K718" s="87">
        <f t="shared" si="545"/>
        <v>7.2741792214043491E-14</v>
      </c>
      <c r="L718" s="87">
        <f t="shared" si="545"/>
        <v>5.1633012058968259E-14</v>
      </c>
      <c r="M718" s="87">
        <f t="shared" si="545"/>
        <v>4.7697723552727536E-14</v>
      </c>
      <c r="N718" s="87">
        <f t="shared" si="545"/>
        <v>7.4472392143731425E-14</v>
      </c>
      <c r="O718" s="87">
        <f t="shared" si="545"/>
        <v>1.9396659187501947E-14</v>
      </c>
      <c r="P718" s="87">
        <f t="shared" si="545"/>
        <v>4.0192884005800143E-14</v>
      </c>
      <c r="Q718" s="87">
        <f t="shared" si="545"/>
        <v>7.778764973623228E-15</v>
      </c>
      <c r="R718" s="87">
        <f t="shared" si="545"/>
        <v>7.694102018718522E-15</v>
      </c>
      <c r="S718" s="87">
        <f t="shared" si="545"/>
        <v>7.4207413425155296E-15</v>
      </c>
      <c r="T718" s="87">
        <f t="shared" si="545"/>
        <v>6.5819173832722691E-15</v>
      </c>
      <c r="U718" s="87">
        <f t="shared" si="545"/>
        <v>3.7088765923730335E-15</v>
      </c>
      <c r="V718" s="87">
        <f t="shared" si="545"/>
        <v>1.9167759894876339E-15</v>
      </c>
      <c r="W718" s="87">
        <f t="shared" si="545"/>
        <v>1.6548554558074915E-15</v>
      </c>
      <c r="X718" s="87">
        <f t="shared" si="545"/>
        <v>7.0392040556731206E-15</v>
      </c>
      <c r="Y718" s="87">
        <f t="shared" si="545"/>
        <v>4.6196667778040891E-15</v>
      </c>
      <c r="Z718" s="87">
        <f t="shared" si="545"/>
        <v>4.0974591601111334E-15</v>
      </c>
      <c r="AA718" s="87">
        <f t="shared" si="545"/>
        <v>5.3940230487062122E-12</v>
      </c>
      <c r="AB718" s="87">
        <f t="shared" si="545"/>
        <v>6.640015963150546E-12</v>
      </c>
      <c r="AC718" s="87">
        <f t="shared" si="545"/>
        <v>3.1007456384427056E-12</v>
      </c>
      <c r="AD718" s="87">
        <f t="shared" si="545"/>
        <v>7.6026914888114139E-12</v>
      </c>
      <c r="AE718" s="87">
        <f t="shared" si="545"/>
        <v>6.8399360640953299E-12</v>
      </c>
      <c r="AF718" s="87">
        <f t="shared" si="545"/>
        <v>6.9740974343122269E-12</v>
      </c>
      <c r="AG718" s="86"/>
    </row>
    <row r="719" spans="1:33" x14ac:dyDescent="0.2">
      <c r="A719" s="198" t="s">
        <v>584</v>
      </c>
      <c r="C719" s="679">
        <f>C$139/(EXP(C717*1000000*C$243)-1)</f>
        <v>8.464635601214867E-14</v>
      </c>
      <c r="D719" s="679">
        <f>D$139/(EXP(D717*1000000*D$243)-1)</f>
        <v>1.453330241311387E-14</v>
      </c>
      <c r="E719" s="679">
        <f t="shared" ref="E719:AF719" si="546">E$139/(EXP(E717*1000000*E$243)-1)</f>
        <v>3.4365339049771755E-14</v>
      </c>
      <c r="F719" s="679">
        <f t="shared" si="546"/>
        <v>-2.7214382839649905E-14</v>
      </c>
      <c r="G719" s="679">
        <f t="shared" si="546"/>
        <v>7.7712139129434004E-14</v>
      </c>
      <c r="H719" s="679">
        <f t="shared" si="546"/>
        <v>5.5599183480037783E-14</v>
      </c>
      <c r="I719" s="679">
        <f t="shared" si="546"/>
        <v>5.0681018644103419E-14</v>
      </c>
      <c r="J719" s="679">
        <f t="shared" si="546"/>
        <v>7.6855902894471754E-14</v>
      </c>
      <c r="K719" s="679">
        <f t="shared" si="546"/>
        <v>6.3533907607960926E-12</v>
      </c>
      <c r="L719" s="679">
        <f t="shared" si="546"/>
        <v>4.4519199742317421E-12</v>
      </c>
      <c r="M719" s="679">
        <f t="shared" si="546"/>
        <v>4.094132545851198E-12</v>
      </c>
      <c r="N719" s="679">
        <f t="shared" si="546"/>
        <v>6.7284417675779816E-12</v>
      </c>
      <c r="O719" s="679">
        <f t="shared" si="546"/>
        <v>1.6160211790122134E-12</v>
      </c>
      <c r="P719" s="679">
        <f t="shared" si="546"/>
        <v>3.5334481688586268E-12</v>
      </c>
      <c r="Q719" s="679">
        <f t="shared" si="546"/>
        <v>5.8925107074783571E-13</v>
      </c>
      <c r="R719" s="679">
        <f t="shared" si="546"/>
        <v>1.3495291207404802E-12</v>
      </c>
      <c r="S719" s="679">
        <f t="shared" si="546"/>
        <v>1.4715315548228048E-12</v>
      </c>
      <c r="T719" s="679">
        <f t="shared" si="546"/>
        <v>1.257546827907533E-12</v>
      </c>
      <c r="U719" s="679">
        <f t="shared" si="546"/>
        <v>9.1573739339639402E-13</v>
      </c>
      <c r="V719" s="679">
        <f t="shared" si="546"/>
        <v>3.4049103849788389E-13</v>
      </c>
      <c r="W719" s="679">
        <f t="shared" si="546"/>
        <v>2.5906997248915183E-13</v>
      </c>
      <c r="X719" s="679">
        <f t="shared" si="546"/>
        <v>9.5773013012662176E-13</v>
      </c>
      <c r="Y719" s="679">
        <f t="shared" si="546"/>
        <v>7.018543317531461E-13</v>
      </c>
      <c r="Z719" s="679">
        <f t="shared" si="546"/>
        <v>4.3229839410508744E-13</v>
      </c>
      <c r="AA719" s="679">
        <f t="shared" si="546"/>
        <v>4.5646118192818326E-12</v>
      </c>
      <c r="AB719" s="679">
        <f t="shared" si="546"/>
        <v>4.572406569361882E-12</v>
      </c>
      <c r="AC719" s="679">
        <f t="shared" si="546"/>
        <v>2.4667170570422778E-12</v>
      </c>
      <c r="AD719" s="679">
        <f t="shared" si="546"/>
        <v>7.2050202423995427E-12</v>
      </c>
      <c r="AE719" s="679">
        <f t="shared" si="546"/>
        <v>6.7188045616296006E-12</v>
      </c>
      <c r="AF719" s="679">
        <f t="shared" si="546"/>
        <v>5.7146801493636236E-12</v>
      </c>
      <c r="AG719" s="204"/>
    </row>
    <row r="720" spans="1:33" x14ac:dyDescent="0.2">
      <c r="A720" s="5" t="s">
        <v>585</v>
      </c>
      <c r="C720" s="680">
        <f>C719/(C$127+C$130)</f>
        <v>6.3415895844257955E-2</v>
      </c>
      <c r="D720" s="680">
        <f>D719/(D$127+D$130)</f>
        <v>0.19118354897279011</v>
      </c>
      <c r="E720" s="680">
        <f t="shared" ref="E720:AF720" si="547">E719/(E$127+E$130)</f>
        <v>0.2257416469952335</v>
      </c>
      <c r="F720" s="680">
        <f t="shared" si="547"/>
        <v>-0.10743796629861066</v>
      </c>
      <c r="G720" s="680">
        <f t="shared" si="547"/>
        <v>0.23750957270335615</v>
      </c>
      <c r="H720" s="680">
        <f t="shared" si="547"/>
        <v>0.38614475466325526</v>
      </c>
      <c r="I720" s="680">
        <f t="shared" si="547"/>
        <v>0.20764767420340752</v>
      </c>
      <c r="J720" s="680">
        <f t="shared" si="547"/>
        <v>0.38781034086996707</v>
      </c>
      <c r="K720" s="680">
        <f t="shared" si="547"/>
        <v>0.60192975446302244</v>
      </c>
      <c r="L720" s="680">
        <f t="shared" si="547"/>
        <v>0.59410896997923179</v>
      </c>
      <c r="M720" s="680">
        <f t="shared" si="547"/>
        <v>0.59140245095066513</v>
      </c>
      <c r="N720" s="680">
        <f t="shared" si="547"/>
        <v>0.62249200288974094</v>
      </c>
      <c r="O720" s="680">
        <f t="shared" si="547"/>
        <v>0.57376125687434498</v>
      </c>
      <c r="P720" s="680">
        <f t="shared" si="547"/>
        <v>0.60555586840707221</v>
      </c>
      <c r="Q720" s="680">
        <f t="shared" si="547"/>
        <v>0.52106430575115625</v>
      </c>
      <c r="R720" s="680">
        <f t="shared" si="547"/>
        <v>0.77147742056705493</v>
      </c>
      <c r="S720" s="680">
        <f t="shared" si="547"/>
        <v>0.87215545350748536</v>
      </c>
      <c r="T720" s="680">
        <f t="shared" si="547"/>
        <v>0.83603167006980939</v>
      </c>
      <c r="U720" s="680">
        <f t="shared" si="547"/>
        <v>1.0802271724468435</v>
      </c>
      <c r="V720" s="680">
        <f t="shared" si="547"/>
        <v>0.77437670073871934</v>
      </c>
      <c r="W720" s="680">
        <f t="shared" si="547"/>
        <v>0.68244100183841971</v>
      </c>
      <c r="X720" s="680">
        <f t="shared" si="547"/>
        <v>0.60017700651084716</v>
      </c>
      <c r="Y720" s="680">
        <f t="shared" si="547"/>
        <v>0.66690411846245112</v>
      </c>
      <c r="Z720" s="680">
        <f t="shared" si="547"/>
        <v>0.46194853657262552</v>
      </c>
      <c r="AA720" s="680">
        <f t="shared" si="547"/>
        <v>0.41203957520387996</v>
      </c>
      <c r="AB720" s="680">
        <f t="shared" si="547"/>
        <v>0.33617793657742934</v>
      </c>
      <c r="AC720" s="680">
        <f t="shared" si="547"/>
        <v>0.38818158249728779</v>
      </c>
      <c r="AD720" s="680">
        <f t="shared" si="547"/>
        <v>0.46263384440740607</v>
      </c>
      <c r="AE720" s="680">
        <f t="shared" si="547"/>
        <v>0.47848803287039327</v>
      </c>
      <c r="AF720" s="680">
        <f t="shared" si="547"/>
        <v>0.39996361663919405</v>
      </c>
      <c r="AG720" s="219"/>
    </row>
    <row r="721" spans="1:33" x14ac:dyDescent="0.2">
      <c r="A721" s="44" t="s">
        <v>472</v>
      </c>
      <c r="C721" s="680">
        <f t="shared" ref="C721:AF721" si="548">C720*SQRT((C143/C142)^2+(C128/C127)^2)</f>
        <v>1.6678864335858266E-2</v>
      </c>
      <c r="D721" s="680">
        <f t="shared" si="548"/>
        <v>0.21359831385065361</v>
      </c>
      <c r="E721" s="680">
        <f t="shared" si="548"/>
        <v>0.15045925641424066</v>
      </c>
      <c r="F721" s="680">
        <f t="shared" si="548"/>
        <v>-0.33119061169883884</v>
      </c>
      <c r="G721" s="680">
        <f t="shared" si="548"/>
        <v>0.19508620532726098</v>
      </c>
      <c r="H721" s="680">
        <f t="shared" si="548"/>
        <v>0.20290462440470375</v>
      </c>
      <c r="I721" s="680">
        <f t="shared" si="548"/>
        <v>0.10712313377175343</v>
      </c>
      <c r="J721" s="680">
        <f t="shared" si="548"/>
        <v>0.12329386380082255</v>
      </c>
      <c r="K721" s="680">
        <f t="shared" si="548"/>
        <v>8.615752336710987E-4</v>
      </c>
      <c r="L721" s="680">
        <f t="shared" si="548"/>
        <v>1.2248221795873729E-3</v>
      </c>
      <c r="M721" s="680">
        <f t="shared" si="548"/>
        <v>1.1933618077783698E-3</v>
      </c>
      <c r="N721" s="680">
        <f t="shared" si="548"/>
        <v>1.0614445913992572E-3</v>
      </c>
      <c r="O721" s="680">
        <f t="shared" si="548"/>
        <v>1.9714525327433606E-3</v>
      </c>
      <c r="P721" s="680">
        <f t="shared" si="548"/>
        <v>1.2347261961464227E-3</v>
      </c>
      <c r="Q721" s="680">
        <f t="shared" si="548"/>
        <v>3.9540778086710063E-3</v>
      </c>
      <c r="R721" s="680">
        <f t="shared" si="548"/>
        <v>7.0885644580253966E-3</v>
      </c>
      <c r="S721" s="680">
        <f t="shared" si="548"/>
        <v>7.7000003432354464E-3</v>
      </c>
      <c r="T721" s="680">
        <f t="shared" si="548"/>
        <v>8.8470527948894453E-3</v>
      </c>
      <c r="U721" s="680">
        <f t="shared" si="548"/>
        <v>1.4299190090838456E-2</v>
      </c>
      <c r="V721" s="680">
        <f t="shared" si="548"/>
        <v>1.8369903949195642E-2</v>
      </c>
      <c r="W721" s="680">
        <f t="shared" si="548"/>
        <v>2.7028203324320293E-2</v>
      </c>
      <c r="X721" s="680">
        <f t="shared" si="548"/>
        <v>6.2449333794322029E-3</v>
      </c>
      <c r="Y721" s="680">
        <f t="shared" si="548"/>
        <v>1.1292049963508063E-2</v>
      </c>
      <c r="Z721" s="680">
        <f t="shared" si="548"/>
        <v>1.2435361720313887E-2</v>
      </c>
      <c r="AA721" s="680">
        <f t="shared" si="548"/>
        <v>2.7242945841480327E-4</v>
      </c>
      <c r="AB721" s="680">
        <f t="shared" si="548"/>
        <v>2.3458361764055102E-4</v>
      </c>
      <c r="AC721" s="680">
        <f t="shared" si="548"/>
        <v>2.6410808428931743E-4</v>
      </c>
      <c r="AD721" s="680">
        <f t="shared" si="548"/>
        <v>3.0280728453927077E-4</v>
      </c>
      <c r="AE721" s="680">
        <f t="shared" si="548"/>
        <v>3.2018469653137007E-4</v>
      </c>
      <c r="AF721" s="680">
        <f t="shared" si="548"/>
        <v>2.7307789746244961E-4</v>
      </c>
      <c r="AG721" s="219"/>
    </row>
    <row r="722" spans="1:33" s="25" customFormat="1" ht="18" x14ac:dyDescent="0.25">
      <c r="A722" s="688" t="s">
        <v>602</v>
      </c>
      <c r="B722" s="63"/>
      <c r="C722" s="689">
        <f>((1/C$242)*LN(1-(C$242/C$244)*((C687/C672)*C674-1)))*0.001</f>
        <v>106.48337246922745</v>
      </c>
      <c r="D722" s="689">
        <f t="shared" ref="D722:AF722" si="549">((1/D$242)*LN(1-(D$242/D$244)*((D687/D672)*D674-1)))*0.001</f>
        <v>90.637693344799359</v>
      </c>
      <c r="E722" s="689">
        <f t="shared" si="549"/>
        <v>99.687781394337804</v>
      </c>
      <c r="F722" s="689">
        <f t="shared" si="549"/>
        <v>112.53230640940951</v>
      </c>
      <c r="G722" s="689">
        <f t="shared" si="549"/>
        <v>95.477543118262631</v>
      </c>
      <c r="H722" s="689">
        <f t="shared" si="549"/>
        <v>94.807595582497697</v>
      </c>
      <c r="I722" s="689">
        <f t="shared" si="549"/>
        <v>100.81167102069564</v>
      </c>
      <c r="J722" s="689">
        <f t="shared" si="549"/>
        <v>96.452158964244404</v>
      </c>
      <c r="K722" s="689">
        <f t="shared" si="549"/>
        <v>86.992371692884191</v>
      </c>
      <c r="L722" s="689">
        <f t="shared" si="549"/>
        <v>87.278798541025623</v>
      </c>
      <c r="M722" s="689">
        <f t="shared" si="549"/>
        <v>87.368472172405745</v>
      </c>
      <c r="N722" s="689">
        <f t="shared" si="549"/>
        <v>86.227219175919572</v>
      </c>
      <c r="O722" s="689">
        <f t="shared" si="549"/>
        <v>87.979413180396364</v>
      </c>
      <c r="P722" s="689">
        <f t="shared" si="549"/>
        <v>86.758889899580979</v>
      </c>
      <c r="Q722" s="689">
        <f t="shared" si="549"/>
        <v>89.625905988044423</v>
      </c>
      <c r="R722" s="689">
        <f t="shared" si="549"/>
        <v>80.002791145110294</v>
      </c>
      <c r="S722" s="689">
        <f t="shared" si="549"/>
        <v>76.484387095302182</v>
      </c>
      <c r="T722" s="689">
        <f t="shared" si="549"/>
        <v>78.068923903737186</v>
      </c>
      <c r="U722" s="689">
        <f t="shared" si="549"/>
        <v>69.372024781627886</v>
      </c>
      <c r="V722" s="689">
        <f t="shared" si="549"/>
        <v>79.248973655689767</v>
      </c>
      <c r="W722" s="689">
        <f t="shared" si="549"/>
        <v>82.874257059332834</v>
      </c>
      <c r="X722" s="689">
        <f t="shared" si="549"/>
        <v>87.050622541229913</v>
      </c>
      <c r="Y722" s="689">
        <f t="shared" si="549"/>
        <v>84.66633219844141</v>
      </c>
      <c r="Z722" s="689">
        <f t="shared" si="549"/>
        <v>91.757724302827086</v>
      </c>
      <c r="AA722" s="689">
        <f t="shared" si="549"/>
        <v>93.849050463831929</v>
      </c>
      <c r="AB722" s="689">
        <f t="shared" si="549"/>
        <v>96.581623219922534</v>
      </c>
      <c r="AC722" s="689">
        <f t="shared" si="549"/>
        <v>94.702365173259949</v>
      </c>
      <c r="AD722" s="689">
        <f t="shared" si="549"/>
        <v>92.00508985940651</v>
      </c>
      <c r="AE722" s="689">
        <f t="shared" si="549"/>
        <v>91.441198799064196</v>
      </c>
      <c r="AF722" s="689">
        <f t="shared" si="549"/>
        <v>94.274660236887698</v>
      </c>
      <c r="AG722" s="53"/>
    </row>
    <row r="723" spans="1:33" s="25" customFormat="1" x14ac:dyDescent="0.2">
      <c r="A723" s="44" t="s">
        <v>603</v>
      </c>
      <c r="B723" s="63"/>
      <c r="C723" s="689">
        <f>SQRT(((C720/C672)*SQRT((C721/C720)^2+(C673/C672)^2)/(C$242*((C720/C672)-1)-C$244))^2)*0.001</f>
        <v>0.71580322063126933</v>
      </c>
      <c r="D723" s="689">
        <f t="shared" ref="D723:AF723" si="550">SQRT(((D720/D672)*SQRT((D721/D720)^2+(D673/D672)^2)/(D$242*((D720/D672)-1)-D$244))^2)*0.001</f>
        <v>7.8288383307274243</v>
      </c>
      <c r="E723" s="689">
        <f t="shared" si="550"/>
        <v>5.6222427077618651</v>
      </c>
      <c r="F723" s="689">
        <f t="shared" si="550"/>
        <v>12.023510210241987</v>
      </c>
      <c r="G723" s="689">
        <f t="shared" si="550"/>
        <v>7.2161933026787386</v>
      </c>
      <c r="H723" s="689">
        <f t="shared" si="550"/>
        <v>7.7166367062841505</v>
      </c>
      <c r="I723" s="689">
        <f t="shared" si="550"/>
        <v>4.0809493677270323</v>
      </c>
      <c r="J723" s="689">
        <f t="shared" si="550"/>
        <v>5.0464627152755881</v>
      </c>
      <c r="K723" s="689">
        <f t="shared" si="550"/>
        <v>3.6369031142166692</v>
      </c>
      <c r="L723" s="689">
        <f t="shared" si="550"/>
        <v>3.5897914423737585</v>
      </c>
      <c r="M723" s="689">
        <f t="shared" si="550"/>
        <v>3.5734262758345259</v>
      </c>
      <c r="N723" s="689">
        <f t="shared" si="550"/>
        <v>3.7612002759911967</v>
      </c>
      <c r="O723" s="689">
        <f t="shared" si="550"/>
        <v>3.4673152371369604</v>
      </c>
      <c r="P723" s="689">
        <f t="shared" si="550"/>
        <v>3.6589512966372419</v>
      </c>
      <c r="Q723" s="689">
        <f t="shared" si="550"/>
        <v>3.1514521882585562</v>
      </c>
      <c r="R723" s="689">
        <f t="shared" si="550"/>
        <v>4.6682328648148186</v>
      </c>
      <c r="S723" s="689">
        <f t="shared" si="550"/>
        <v>5.2768280085565156</v>
      </c>
      <c r="T723" s="689">
        <f t="shared" si="550"/>
        <v>5.0613555901044744</v>
      </c>
      <c r="U723" s="689">
        <f t="shared" si="550"/>
        <v>6.5471402434234811</v>
      </c>
      <c r="V723" s="689">
        <f t="shared" si="550"/>
        <v>4.7258263356178665</v>
      </c>
      <c r="W723" s="689">
        <f t="shared" si="550"/>
        <v>4.2380248561795062</v>
      </c>
      <c r="X723" s="689">
        <f t="shared" si="550"/>
        <v>3.633238985170987</v>
      </c>
      <c r="Y723" s="689">
        <f t="shared" si="550"/>
        <v>4.0500757891668284</v>
      </c>
      <c r="Z723" s="689">
        <f t="shared" si="550"/>
        <v>2.8271923236666061</v>
      </c>
      <c r="AA723" s="689">
        <f t="shared" si="550"/>
        <v>2.4894980414565779</v>
      </c>
      <c r="AB723" s="689">
        <f t="shared" si="550"/>
        <v>2.0311512722610332</v>
      </c>
      <c r="AC723" s="689">
        <f t="shared" si="550"/>
        <v>2.3453514319720461</v>
      </c>
      <c r="AD723" s="689">
        <f t="shared" si="550"/>
        <v>2.7951834370711772</v>
      </c>
      <c r="AE723" s="689">
        <f t="shared" si="550"/>
        <v>2.8909739871782825</v>
      </c>
      <c r="AF723" s="689">
        <f t="shared" si="550"/>
        <v>2.4165375183843016</v>
      </c>
      <c r="AG723" s="53"/>
    </row>
    <row r="724" spans="1:33" s="25" customFormat="1" ht="18" x14ac:dyDescent="0.25">
      <c r="A724" s="688" t="s">
        <v>605</v>
      </c>
      <c r="B724" s="63"/>
      <c r="C724" s="689">
        <f>((1/C$242)*LN(1-(C$242/C$244)*(C676*C674-1)))*0.001</f>
        <v>87.003219299661907</v>
      </c>
      <c r="D724" s="689">
        <f t="shared" ref="D724:AF724" si="551">((1/D$242)*LN(1-(D$242/D$244)*(D676*D674-1)))*0.001</f>
        <v>87.003219299661907</v>
      </c>
      <c r="E724" s="689">
        <f t="shared" si="551"/>
        <v>87.003219299661907</v>
      </c>
      <c r="F724" s="689">
        <f t="shared" si="551"/>
        <v>87.003219299661907</v>
      </c>
      <c r="G724" s="689">
        <f t="shared" si="551"/>
        <v>87.003219299661907</v>
      </c>
      <c r="H724" s="689">
        <f t="shared" si="551"/>
        <v>87.003219299661907</v>
      </c>
      <c r="I724" s="689">
        <f t="shared" si="551"/>
        <v>87.003219299661907</v>
      </c>
      <c r="J724" s="689">
        <f t="shared" si="551"/>
        <v>87.003219299661907</v>
      </c>
      <c r="K724" s="689">
        <f t="shared" si="551"/>
        <v>87.003219299661907</v>
      </c>
      <c r="L724" s="689">
        <f t="shared" si="551"/>
        <v>87.003219299661907</v>
      </c>
      <c r="M724" s="689">
        <f t="shared" si="551"/>
        <v>87.003219299661907</v>
      </c>
      <c r="N724" s="689">
        <f t="shared" si="551"/>
        <v>87.003219299661907</v>
      </c>
      <c r="O724" s="689">
        <f t="shared" si="551"/>
        <v>87.003219299661907</v>
      </c>
      <c r="P724" s="689">
        <f t="shared" si="551"/>
        <v>87.003219299661907</v>
      </c>
      <c r="Q724" s="689">
        <f t="shared" si="551"/>
        <v>87.003219299661907</v>
      </c>
      <c r="R724" s="689">
        <f t="shared" si="551"/>
        <v>87.003219299661907</v>
      </c>
      <c r="S724" s="689">
        <f t="shared" si="551"/>
        <v>87.003219299661907</v>
      </c>
      <c r="T724" s="689">
        <f t="shared" si="551"/>
        <v>87.003219299661907</v>
      </c>
      <c r="U724" s="689">
        <f t="shared" si="551"/>
        <v>87.003219299661907</v>
      </c>
      <c r="V724" s="689">
        <f t="shared" si="551"/>
        <v>87.003219299661907</v>
      </c>
      <c r="W724" s="689">
        <f t="shared" si="551"/>
        <v>87.003219299661907</v>
      </c>
      <c r="X724" s="689">
        <f t="shared" si="551"/>
        <v>87.003219299661907</v>
      </c>
      <c r="Y724" s="689">
        <f t="shared" si="551"/>
        <v>87.003219299661907</v>
      </c>
      <c r="Z724" s="689">
        <f t="shared" si="551"/>
        <v>87.003219299661907</v>
      </c>
      <c r="AA724" s="689">
        <f t="shared" si="551"/>
        <v>87.003219299661907</v>
      </c>
      <c r="AB724" s="689">
        <f t="shared" si="551"/>
        <v>87.003219299661907</v>
      </c>
      <c r="AC724" s="689">
        <f t="shared" si="551"/>
        <v>87.003219299661907</v>
      </c>
      <c r="AD724" s="689">
        <f t="shared" si="551"/>
        <v>87.003219299661907</v>
      </c>
      <c r="AE724" s="689">
        <f t="shared" si="551"/>
        <v>87.003219299661907</v>
      </c>
      <c r="AF724" s="689">
        <f t="shared" si="551"/>
        <v>87.003219299661907</v>
      </c>
      <c r="AG724" s="53"/>
    </row>
    <row r="725" spans="1:33" s="25" customFormat="1" x14ac:dyDescent="0.2">
      <c r="A725" s="44" t="s">
        <v>604</v>
      </c>
      <c r="B725" s="63"/>
      <c r="C725" s="689">
        <f>SQRT((C677/(C$242*(C676-1)-C$244))^2)*0.001</f>
        <v>5.4376645117818478</v>
      </c>
      <c r="D725" s="689">
        <f t="shared" ref="D725:AF725" si="552">SQRT((D677/(D$242*(D676-1)-D$244))^2)*0.001</f>
        <v>5.4376645117818478</v>
      </c>
      <c r="E725" s="689">
        <f t="shared" si="552"/>
        <v>5.4376645117818478</v>
      </c>
      <c r="F725" s="689">
        <f t="shared" si="552"/>
        <v>5.4376645117818478</v>
      </c>
      <c r="G725" s="689">
        <f t="shared" si="552"/>
        <v>5.4376645117818478</v>
      </c>
      <c r="H725" s="689">
        <f t="shared" si="552"/>
        <v>5.4376645117818478</v>
      </c>
      <c r="I725" s="689">
        <f t="shared" si="552"/>
        <v>5.4376645117818478</v>
      </c>
      <c r="J725" s="689">
        <f t="shared" si="552"/>
        <v>5.4376645117818478</v>
      </c>
      <c r="K725" s="689">
        <f t="shared" si="552"/>
        <v>5.4376645117818478</v>
      </c>
      <c r="L725" s="689">
        <f t="shared" si="552"/>
        <v>5.4376645117818478</v>
      </c>
      <c r="M725" s="689">
        <f t="shared" si="552"/>
        <v>5.4376645117818478</v>
      </c>
      <c r="N725" s="689">
        <f t="shared" si="552"/>
        <v>5.4376645117818478</v>
      </c>
      <c r="O725" s="689">
        <f t="shared" si="552"/>
        <v>5.4376645117818478</v>
      </c>
      <c r="P725" s="689">
        <f t="shared" si="552"/>
        <v>5.4376645117818478</v>
      </c>
      <c r="Q725" s="689">
        <f t="shared" si="552"/>
        <v>5.4376645117818478</v>
      </c>
      <c r="R725" s="689">
        <f t="shared" si="552"/>
        <v>5.4376645117818478</v>
      </c>
      <c r="S725" s="689">
        <f t="shared" si="552"/>
        <v>5.4376645117818478</v>
      </c>
      <c r="T725" s="689">
        <f t="shared" si="552"/>
        <v>5.4376645117818478</v>
      </c>
      <c r="U725" s="689">
        <f t="shared" si="552"/>
        <v>5.4376645117818478</v>
      </c>
      <c r="V725" s="689">
        <f t="shared" si="552"/>
        <v>5.4376645117818478</v>
      </c>
      <c r="W725" s="689">
        <f t="shared" si="552"/>
        <v>5.4376645117818478</v>
      </c>
      <c r="X725" s="689">
        <f t="shared" si="552"/>
        <v>5.4376645117818478</v>
      </c>
      <c r="Y725" s="689">
        <f t="shared" si="552"/>
        <v>5.4376645117818478</v>
      </c>
      <c r="Z725" s="689">
        <f t="shared" si="552"/>
        <v>5.4376645117818478</v>
      </c>
      <c r="AA725" s="689">
        <f t="shared" si="552"/>
        <v>5.4376645117818478</v>
      </c>
      <c r="AB725" s="689">
        <f t="shared" si="552"/>
        <v>5.4376645117818478</v>
      </c>
      <c r="AC725" s="689">
        <f t="shared" si="552"/>
        <v>5.4376645117818478</v>
      </c>
      <c r="AD725" s="689">
        <f t="shared" si="552"/>
        <v>5.4376645117818478</v>
      </c>
      <c r="AE725" s="689">
        <f t="shared" si="552"/>
        <v>5.4376645117818478</v>
      </c>
      <c r="AF725" s="689">
        <f t="shared" si="552"/>
        <v>5.4376645117818478</v>
      </c>
      <c r="AG725" s="53"/>
    </row>
    <row r="726" spans="1:33" x14ac:dyDescent="0.2">
      <c r="A726" s="44"/>
      <c r="C726" s="205"/>
      <c r="D726" s="205"/>
      <c r="E726" s="205"/>
      <c r="F726" s="205"/>
      <c r="G726" s="205"/>
      <c r="H726" s="205"/>
      <c r="I726" s="205"/>
      <c r="J726" s="205"/>
      <c r="K726" s="205"/>
      <c r="L726" s="205"/>
      <c r="M726" s="205"/>
      <c r="N726" s="205"/>
      <c r="O726" s="205"/>
      <c r="P726" s="205"/>
      <c r="Q726" s="205"/>
      <c r="R726" s="205"/>
      <c r="S726" s="205"/>
      <c r="T726" s="205"/>
      <c r="U726" s="205"/>
      <c r="V726" s="205"/>
      <c r="W726" s="205"/>
      <c r="X726" s="205"/>
      <c r="Y726" s="205"/>
      <c r="Z726" s="205"/>
      <c r="AA726" s="205"/>
      <c r="AB726" s="205"/>
      <c r="AC726" s="205"/>
      <c r="AD726" s="205"/>
      <c r="AE726" s="205"/>
      <c r="AF726" s="205"/>
      <c r="AG726" s="219"/>
    </row>
    <row r="727" spans="1:33" ht="18" x14ac:dyDescent="0.2">
      <c r="A727" s="1" t="s">
        <v>7</v>
      </c>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c r="AA727" s="28"/>
      <c r="AB727" s="28"/>
      <c r="AC727" s="28"/>
      <c r="AD727" s="28"/>
      <c r="AE727" s="28"/>
      <c r="AF727" s="28"/>
    </row>
    <row r="728" spans="1:33" s="85" customFormat="1" x14ac:dyDescent="0.2">
      <c r="A728" s="198" t="s">
        <v>219</v>
      </c>
      <c r="B728" s="223"/>
      <c r="C728" s="515">
        <f>IF('Raw Data Input'!$AT$56="t75",(IF('Raw Data Input'!$AT$54="magma",'Data Reduction Engine'!C683,'Data Reduction Engine'!C688)),(IF('Raw Data Input'!$AT$54="magma",'Data Reduction Engine'!C712,'Data Reduction Engine'!C718)))</f>
        <v>1.7070508096095868E-14</v>
      </c>
      <c r="D728" s="86">
        <f>IF('Raw Data Input'!$AT$56="t75",(IF('Raw Data Input'!$AT$54="magma",'Data Reduction Engine'!D683,'Data Reduction Engine'!D688)),(IF('Raw Data Input'!$AT$54="magma",'Data Reduction Engine'!D712,'Data Reduction Engine'!D718)))</f>
        <v>1.0521219171556913E-15</v>
      </c>
      <c r="E728" s="86">
        <f>IF('Raw Data Input'!$AT$56="t75",(IF('Raw Data Input'!$AT$54="magma",'Data Reduction Engine'!E683,'Data Reduction Engine'!E688)),(IF('Raw Data Input'!$AT$54="magma",'Data Reduction Engine'!E712,'Data Reduction Engine'!E718)))</f>
        <v>2.1138747559970572E-15</v>
      </c>
      <c r="F728" s="86">
        <f>IF('Raw Data Input'!$AT$56="t75",(IF('Raw Data Input'!$AT$54="magma",'Data Reduction Engine'!F683,'Data Reduction Engine'!F688)),(IF('Raw Data Input'!$AT$54="magma",'Data Reduction Engine'!F712,'Data Reduction Engine'!F718)))</f>
        <v>3.0353273570224659E-15</v>
      </c>
      <c r="G728" s="86">
        <f>IF('Raw Data Input'!$AT$56="t75",(IF('Raw Data Input'!$AT$54="magma",'Data Reduction Engine'!G683,'Data Reduction Engine'!G688)),(IF('Raw Data Input'!$AT$54="magma",'Data Reduction Engine'!G712,'Data Reduction Engine'!G718)))</f>
        <v>4.6857145530992201E-15</v>
      </c>
      <c r="H728" s="86">
        <f>IF('Raw Data Input'!$AT$56="t75",(IF('Raw Data Input'!$AT$54="magma",'Data Reduction Engine'!H683,'Data Reduction Engine'!H688)),(IF('Raw Data Input'!$AT$54="magma",'Data Reduction Engine'!H712,'Data Reduction Engine'!H718)))</f>
        <v>2.1240572140805279E-15</v>
      </c>
      <c r="I728" s="86">
        <f>IF('Raw Data Input'!$AT$56="t75",(IF('Raw Data Input'!$AT$54="magma",'Data Reduction Engine'!I683,'Data Reduction Engine'!I688)),(IF('Raw Data Input'!$AT$54="magma",'Data Reduction Engine'!I712,'Data Reduction Engine'!I718)))</f>
        <v>3.2815652445083932E-15</v>
      </c>
      <c r="J728" s="86">
        <f>IF('Raw Data Input'!$AT$56="t75",(IF('Raw Data Input'!$AT$54="magma",'Data Reduction Engine'!J683,'Data Reduction Engine'!J688)),(IF('Raw Data Input'!$AT$54="magma",'Data Reduction Engine'!J712,'Data Reduction Engine'!J718)))</f>
        <v>2.7471499935837936E-15</v>
      </c>
      <c r="K728" s="86">
        <f>IF('Raw Data Input'!$AT$56="t75",(IF('Raw Data Input'!$AT$54="magma",'Data Reduction Engine'!K683,'Data Reduction Engine'!K688)),(IF('Raw Data Input'!$AT$54="magma",'Data Reduction Engine'!K712,'Data Reduction Engine'!K718)))</f>
        <v>7.2741792214043491E-14</v>
      </c>
      <c r="L728" s="86">
        <f>IF('Raw Data Input'!$AT$56="t75",(IF('Raw Data Input'!$AT$54="magma",'Data Reduction Engine'!L683,'Data Reduction Engine'!L688)),(IF('Raw Data Input'!$AT$54="magma",'Data Reduction Engine'!L712,'Data Reduction Engine'!L718)))</f>
        <v>5.1633012058968259E-14</v>
      </c>
      <c r="M728" s="86">
        <f>IF('Raw Data Input'!$AT$56="t75",(IF('Raw Data Input'!$AT$54="magma",'Data Reduction Engine'!M683,'Data Reduction Engine'!M688)),(IF('Raw Data Input'!$AT$54="magma",'Data Reduction Engine'!M712,'Data Reduction Engine'!M718)))</f>
        <v>4.7697723552727536E-14</v>
      </c>
      <c r="N728" s="86">
        <f>IF('Raw Data Input'!$AT$56="t75",(IF('Raw Data Input'!$AT$54="magma",'Data Reduction Engine'!N683,'Data Reduction Engine'!N688)),(IF('Raw Data Input'!$AT$54="magma",'Data Reduction Engine'!N712,'Data Reduction Engine'!N718)))</f>
        <v>7.4472392143731425E-14</v>
      </c>
      <c r="O728" s="86">
        <f>IF('Raw Data Input'!$AT$56="t75",(IF('Raw Data Input'!$AT$54="magma",'Data Reduction Engine'!O683,'Data Reduction Engine'!O688)),(IF('Raw Data Input'!$AT$54="magma",'Data Reduction Engine'!O712,'Data Reduction Engine'!O718)))</f>
        <v>1.9396659187501947E-14</v>
      </c>
      <c r="P728" s="86">
        <f>IF('Raw Data Input'!$AT$56="t75",(IF('Raw Data Input'!$AT$54="magma",'Data Reduction Engine'!P683,'Data Reduction Engine'!P688)),(IF('Raw Data Input'!$AT$54="magma",'Data Reduction Engine'!P712,'Data Reduction Engine'!P718)))</f>
        <v>4.0192884005800143E-14</v>
      </c>
      <c r="Q728" s="86">
        <f>IF('Raw Data Input'!$AT$56="t75",(IF('Raw Data Input'!$AT$54="magma",'Data Reduction Engine'!Q683,'Data Reduction Engine'!Q688)),(IF('Raw Data Input'!$AT$54="magma",'Data Reduction Engine'!Q712,'Data Reduction Engine'!Q718)))</f>
        <v>7.778764973623228E-15</v>
      </c>
      <c r="R728" s="86">
        <f>IF('Raw Data Input'!$AT$56="t75",(IF('Raw Data Input'!$AT$54="magma",'Data Reduction Engine'!R683,'Data Reduction Engine'!R688)),(IF('Raw Data Input'!$AT$54="magma",'Data Reduction Engine'!R712,'Data Reduction Engine'!R718)))</f>
        <v>7.694102018718522E-15</v>
      </c>
      <c r="S728" s="86">
        <f>IF('Raw Data Input'!$AT$56="t75",(IF('Raw Data Input'!$AT$54="magma",'Data Reduction Engine'!S683,'Data Reduction Engine'!S688)),(IF('Raw Data Input'!$AT$54="magma",'Data Reduction Engine'!S712,'Data Reduction Engine'!S718)))</f>
        <v>7.4207413425155296E-15</v>
      </c>
      <c r="T728" s="86">
        <f>IF('Raw Data Input'!$AT$56="t75",(IF('Raw Data Input'!$AT$54="magma",'Data Reduction Engine'!T683,'Data Reduction Engine'!T688)),(IF('Raw Data Input'!$AT$54="magma",'Data Reduction Engine'!T712,'Data Reduction Engine'!T718)))</f>
        <v>6.5819173832722691E-15</v>
      </c>
      <c r="U728" s="86">
        <f>IF('Raw Data Input'!$AT$56="t75",(IF('Raw Data Input'!$AT$54="magma",'Data Reduction Engine'!U683,'Data Reduction Engine'!U688)),(IF('Raw Data Input'!$AT$54="magma",'Data Reduction Engine'!U712,'Data Reduction Engine'!U718)))</f>
        <v>3.7088765923730335E-15</v>
      </c>
      <c r="V728" s="86">
        <f>IF('Raw Data Input'!$AT$56="t75",(IF('Raw Data Input'!$AT$54="magma",'Data Reduction Engine'!V683,'Data Reduction Engine'!V688)),(IF('Raw Data Input'!$AT$54="magma",'Data Reduction Engine'!V712,'Data Reduction Engine'!V718)))</f>
        <v>1.9167759894876339E-15</v>
      </c>
      <c r="W728" s="86">
        <f>IF('Raw Data Input'!$AT$56="t75",(IF('Raw Data Input'!$AT$54="magma",'Data Reduction Engine'!W683,'Data Reduction Engine'!W688)),(IF('Raw Data Input'!$AT$54="magma",'Data Reduction Engine'!W712,'Data Reduction Engine'!W718)))</f>
        <v>1.6548554558074915E-15</v>
      </c>
      <c r="X728" s="86">
        <f>IF('Raw Data Input'!$AT$56="t75",(IF('Raw Data Input'!$AT$54="magma",'Data Reduction Engine'!X683,'Data Reduction Engine'!X688)),(IF('Raw Data Input'!$AT$54="magma",'Data Reduction Engine'!X712,'Data Reduction Engine'!X718)))</f>
        <v>7.0392040556731206E-15</v>
      </c>
      <c r="Y728" s="86">
        <f>IF('Raw Data Input'!$AT$56="t75",(IF('Raw Data Input'!$AT$54="magma",'Data Reduction Engine'!Y683,'Data Reduction Engine'!Y688)),(IF('Raw Data Input'!$AT$54="magma",'Data Reduction Engine'!Y712,'Data Reduction Engine'!Y718)))</f>
        <v>4.6196667778040891E-15</v>
      </c>
      <c r="Z728" s="86">
        <f>IF('Raw Data Input'!$AT$56="t75",(IF('Raw Data Input'!$AT$54="magma",'Data Reduction Engine'!Z683,'Data Reduction Engine'!Z688)),(IF('Raw Data Input'!$AT$54="magma",'Data Reduction Engine'!Z712,'Data Reduction Engine'!Z718)))</f>
        <v>4.0974591601111334E-15</v>
      </c>
      <c r="AA728" s="86">
        <f>IF('Raw Data Input'!$AT$56="t75",(IF('Raw Data Input'!$AT$54="magma",'Data Reduction Engine'!AA683,'Data Reduction Engine'!AA688)),(IF('Raw Data Input'!$AT$54="magma",'Data Reduction Engine'!AA712,'Data Reduction Engine'!AA718)))</f>
        <v>5.3940230487062122E-12</v>
      </c>
      <c r="AB728" s="86">
        <f>IF('Raw Data Input'!$AT$56="t75",(IF('Raw Data Input'!$AT$54="magma",'Data Reduction Engine'!AB683,'Data Reduction Engine'!AB688)),(IF('Raw Data Input'!$AT$54="magma",'Data Reduction Engine'!AB712,'Data Reduction Engine'!AB718)))</f>
        <v>6.640015963150546E-12</v>
      </c>
      <c r="AC728" s="86">
        <f>IF('Raw Data Input'!$AT$56="t75",(IF('Raw Data Input'!$AT$54="magma",'Data Reduction Engine'!AC683,'Data Reduction Engine'!AC688)),(IF('Raw Data Input'!$AT$54="magma",'Data Reduction Engine'!AC712,'Data Reduction Engine'!AC718)))</f>
        <v>3.1007456384427056E-12</v>
      </c>
      <c r="AD728" s="86">
        <f>IF('Raw Data Input'!$AT$56="t75",(IF('Raw Data Input'!$AT$54="magma",'Data Reduction Engine'!AD683,'Data Reduction Engine'!AD688)),(IF('Raw Data Input'!$AT$54="magma",'Data Reduction Engine'!AD712,'Data Reduction Engine'!AD718)))</f>
        <v>7.6026914888114139E-12</v>
      </c>
      <c r="AE728" s="86">
        <f>IF('Raw Data Input'!$AT$56="t75",(IF('Raw Data Input'!$AT$54="magma",'Data Reduction Engine'!AE683,'Data Reduction Engine'!AE688)),(IF('Raw Data Input'!$AT$54="magma",'Data Reduction Engine'!AE712,'Data Reduction Engine'!AE718)))</f>
        <v>6.8399360640953299E-12</v>
      </c>
      <c r="AF728" s="86">
        <f>IF('Raw Data Input'!$AT$56="t75",(IF('Raw Data Input'!$AT$54="magma",'Data Reduction Engine'!AF683,'Data Reduction Engine'!AF688)),(IF('Raw Data Input'!$AT$54="magma",'Data Reduction Engine'!AF712,'Data Reduction Engine'!AF718)))</f>
        <v>6.9740974343122269E-12</v>
      </c>
      <c r="AG728" s="86"/>
    </row>
    <row r="729" spans="1:33" s="220" customFormat="1" x14ac:dyDescent="0.2">
      <c r="A729" s="4" t="s">
        <v>220</v>
      </c>
      <c r="B729" s="236"/>
      <c r="C729" s="205">
        <f t="shared" ref="C729:AF729" si="553">C136/C728</f>
        <v>4.8281919269647103E-2</v>
      </c>
      <c r="D729" s="205">
        <f t="shared" si="553"/>
        <v>1.7815838496368263E-2</v>
      </c>
      <c r="E729" s="205">
        <f t="shared" si="553"/>
        <v>4.2971107197951199E-2</v>
      </c>
      <c r="F729" s="205">
        <f t="shared" si="553"/>
        <v>4.9076664758521148E-2</v>
      </c>
      <c r="G729" s="205">
        <f t="shared" si="553"/>
        <v>3.0564951225558468E-2</v>
      </c>
      <c r="H729" s="205">
        <f t="shared" si="553"/>
        <v>4.8101515464455E-2</v>
      </c>
      <c r="I729" s="205">
        <f t="shared" si="553"/>
        <v>4.5156059383144896E-2</v>
      </c>
      <c r="J729" s="205">
        <f t="shared" si="553"/>
        <v>5.4958203516352985E-2</v>
      </c>
      <c r="K729" s="205">
        <f t="shared" si="553"/>
        <v>4.7039043452681881E-2</v>
      </c>
      <c r="L729" s="205">
        <f t="shared" si="553"/>
        <v>4.7047122506225225E-2</v>
      </c>
      <c r="M729" s="205">
        <f t="shared" si="553"/>
        <v>4.702874212656781E-2</v>
      </c>
      <c r="N729" s="205">
        <f t="shared" si="553"/>
        <v>4.699241256271177E-2</v>
      </c>
      <c r="O729" s="205">
        <f t="shared" si="553"/>
        <v>4.6965979528843516E-2</v>
      </c>
      <c r="P729" s="205">
        <f t="shared" si="553"/>
        <v>4.6815048765959745E-2</v>
      </c>
      <c r="Q729" s="205">
        <f t="shared" si="553"/>
        <v>4.6309530348752487E-2</v>
      </c>
      <c r="R729" s="205">
        <f t="shared" si="553"/>
        <v>4.5307165688968282E-2</v>
      </c>
      <c r="S729" s="205">
        <f t="shared" si="553"/>
        <v>4.5639449674190549E-2</v>
      </c>
      <c r="T729" s="205">
        <f t="shared" si="553"/>
        <v>4.6010393628588907E-2</v>
      </c>
      <c r="U729" s="205">
        <f t="shared" si="553"/>
        <v>4.6325020303786206E-2</v>
      </c>
      <c r="V729" s="205">
        <f t="shared" si="553"/>
        <v>4.4298496118741156E-2</v>
      </c>
      <c r="W729" s="205">
        <f t="shared" si="553"/>
        <v>4.4510644075914894E-2</v>
      </c>
      <c r="X729" s="205">
        <f t="shared" si="553"/>
        <v>4.6713274821727435E-2</v>
      </c>
      <c r="Y729" s="205">
        <f t="shared" si="553"/>
        <v>4.6766862875361338E-2</v>
      </c>
      <c r="Z729" s="205">
        <f t="shared" si="553"/>
        <v>4.5897701357723038E-2</v>
      </c>
      <c r="AA729" s="205">
        <f t="shared" si="553"/>
        <v>0.17248103230713305</v>
      </c>
      <c r="AB729" s="205">
        <f t="shared" si="553"/>
        <v>0.17263507470686937</v>
      </c>
      <c r="AC729" s="205">
        <f t="shared" si="553"/>
        <v>0.17264475434158366</v>
      </c>
      <c r="AD729" s="205">
        <f t="shared" si="553"/>
        <v>0.17268024156161021</v>
      </c>
      <c r="AE729" s="205">
        <f t="shared" si="553"/>
        <v>0.17246546577381075</v>
      </c>
      <c r="AF729" s="205">
        <f t="shared" si="553"/>
        <v>0.17267548820801928</v>
      </c>
      <c r="AG729" s="217"/>
    </row>
    <row r="730" spans="1:33" s="221" customFormat="1" x14ac:dyDescent="0.2">
      <c r="A730" s="4" t="s">
        <v>97</v>
      </c>
      <c r="B730" s="237"/>
      <c r="C730" s="515">
        <v>2500000000</v>
      </c>
      <c r="D730" s="515">
        <v>2500000000</v>
      </c>
      <c r="E730" s="515">
        <v>2500000000</v>
      </c>
      <c r="F730" s="515">
        <v>2500000000</v>
      </c>
      <c r="G730" s="515">
        <v>2500000000</v>
      </c>
      <c r="H730" s="515">
        <v>2500000000</v>
      </c>
      <c r="I730" s="515">
        <v>2500000000</v>
      </c>
      <c r="J730" s="515">
        <v>2500000000</v>
      </c>
      <c r="K730" s="515">
        <v>2500000000</v>
      </c>
      <c r="L730" s="515">
        <v>2500000000</v>
      </c>
      <c r="M730" s="515">
        <v>2500000000</v>
      </c>
      <c r="N730" s="515">
        <v>2500000000</v>
      </c>
      <c r="O730" s="515">
        <v>2500000000</v>
      </c>
      <c r="P730" s="515">
        <v>2500000000</v>
      </c>
      <c r="Q730" s="515">
        <v>2500000000</v>
      </c>
      <c r="R730" s="515">
        <v>2500000000</v>
      </c>
      <c r="S730" s="515">
        <v>2500000000</v>
      </c>
      <c r="T730" s="515">
        <v>2500000000</v>
      </c>
      <c r="U730" s="515">
        <v>2500000000</v>
      </c>
      <c r="V730" s="515">
        <v>2500000000</v>
      </c>
      <c r="W730" s="515">
        <v>2500000000</v>
      </c>
      <c r="X730" s="515">
        <v>2500000000</v>
      </c>
      <c r="Y730" s="515">
        <v>2500000000</v>
      </c>
      <c r="Z730" s="515">
        <v>2500000000</v>
      </c>
      <c r="AA730" s="515">
        <v>2500000000</v>
      </c>
      <c r="AB730" s="515">
        <v>2500000000</v>
      </c>
      <c r="AC730" s="515">
        <v>2500000000</v>
      </c>
      <c r="AD730" s="515">
        <v>2500000000</v>
      </c>
      <c r="AE730" s="515">
        <v>2500000000</v>
      </c>
      <c r="AF730" s="515">
        <v>2500000000</v>
      </c>
      <c r="AG730" s="86"/>
    </row>
    <row r="731" spans="1:33" s="221" customFormat="1" x14ac:dyDescent="0.2">
      <c r="A731" s="4" t="s">
        <v>98</v>
      </c>
      <c r="B731" s="237"/>
      <c r="C731" s="515">
        <v>5000000000</v>
      </c>
      <c r="D731" s="515">
        <v>5000000000</v>
      </c>
      <c r="E731" s="515">
        <v>5000000000</v>
      </c>
      <c r="F731" s="515">
        <v>5000000000</v>
      </c>
      <c r="G731" s="515">
        <v>5000000000</v>
      </c>
      <c r="H731" s="515">
        <v>5000000000</v>
      </c>
      <c r="I731" s="515">
        <v>5000000000</v>
      </c>
      <c r="J731" s="515">
        <v>5000000000</v>
      </c>
      <c r="K731" s="515">
        <v>5000000000</v>
      </c>
      <c r="L731" s="515">
        <v>5000000000</v>
      </c>
      <c r="M731" s="515">
        <v>5000000000</v>
      </c>
      <c r="N731" s="515">
        <v>5000000000</v>
      </c>
      <c r="O731" s="515">
        <v>5000000000</v>
      </c>
      <c r="P731" s="515">
        <v>5000000000</v>
      </c>
      <c r="Q731" s="515">
        <v>5000000000</v>
      </c>
      <c r="R731" s="515">
        <v>5000000000</v>
      </c>
      <c r="S731" s="515">
        <v>5000000000</v>
      </c>
      <c r="T731" s="515">
        <v>5000000000</v>
      </c>
      <c r="U731" s="515">
        <v>5000000000</v>
      </c>
      <c r="V731" s="515">
        <v>5000000000</v>
      </c>
      <c r="W731" s="515">
        <v>5000000000</v>
      </c>
      <c r="X731" s="515">
        <v>5000000000</v>
      </c>
      <c r="Y731" s="515">
        <v>5000000000</v>
      </c>
      <c r="Z731" s="515">
        <v>5000000000</v>
      </c>
      <c r="AA731" s="515">
        <v>5000000000</v>
      </c>
      <c r="AB731" s="515">
        <v>5000000000</v>
      </c>
      <c r="AC731" s="515">
        <v>5000000000</v>
      </c>
      <c r="AD731" s="515">
        <v>5000000000</v>
      </c>
      <c r="AE731" s="515">
        <v>5000000000</v>
      </c>
      <c r="AF731" s="515">
        <v>5000000000</v>
      </c>
      <c r="AG731" s="86"/>
    </row>
    <row r="732" spans="1:33" s="221" customFormat="1" x14ac:dyDescent="0.2">
      <c r="A732" s="4" t="s">
        <v>99</v>
      </c>
      <c r="B732" s="237"/>
      <c r="C732" s="515">
        <v>-5000000000</v>
      </c>
      <c r="D732" s="515">
        <v>-5000000000</v>
      </c>
      <c r="E732" s="515">
        <v>-5000000000</v>
      </c>
      <c r="F732" s="515">
        <v>-5000000000</v>
      </c>
      <c r="G732" s="515">
        <v>-5000000000</v>
      </c>
      <c r="H732" s="515">
        <v>-5000000000</v>
      </c>
      <c r="I732" s="515">
        <v>-5000000000</v>
      </c>
      <c r="J732" s="515">
        <v>-5000000000</v>
      </c>
      <c r="K732" s="515">
        <v>-5000000000</v>
      </c>
      <c r="L732" s="515">
        <v>-5000000000</v>
      </c>
      <c r="M732" s="515">
        <v>-5000000000</v>
      </c>
      <c r="N732" s="515">
        <v>-5000000000</v>
      </c>
      <c r="O732" s="515">
        <v>-5000000000</v>
      </c>
      <c r="P732" s="515">
        <v>-5000000000</v>
      </c>
      <c r="Q732" s="515">
        <v>-5000000000</v>
      </c>
      <c r="R732" s="515">
        <v>-5000000000</v>
      </c>
      <c r="S732" s="515">
        <v>-5000000000</v>
      </c>
      <c r="T732" s="515">
        <v>-5000000000</v>
      </c>
      <c r="U732" s="515">
        <v>-5000000000</v>
      </c>
      <c r="V732" s="515">
        <v>-5000000000</v>
      </c>
      <c r="W732" s="515">
        <v>-5000000000</v>
      </c>
      <c r="X732" s="515">
        <v>-5000000000</v>
      </c>
      <c r="Y732" s="515">
        <v>-5000000000</v>
      </c>
      <c r="Z732" s="515">
        <v>-5000000000</v>
      </c>
      <c r="AA732" s="515">
        <v>-5000000000</v>
      </c>
      <c r="AB732" s="515">
        <v>-5000000000</v>
      </c>
      <c r="AC732" s="515">
        <v>-5000000000</v>
      </c>
      <c r="AD732" s="515">
        <v>-5000000000</v>
      </c>
      <c r="AE732" s="515">
        <v>-5000000000</v>
      </c>
      <c r="AF732" s="515">
        <v>-5000000000</v>
      </c>
      <c r="AG732" s="86"/>
    </row>
    <row r="733" spans="1:33" s="220" customFormat="1" x14ac:dyDescent="0.2">
      <c r="A733" s="4" t="s">
        <v>100</v>
      </c>
      <c r="B733" s="236"/>
      <c r="C733" s="30">
        <f t="shared" ref="C733:AF733" si="554">(1/C245)*((EXP(C$241*C730)-1)/(EXP(C$242*C730)-1))</f>
        <v>0.16426096549253039</v>
      </c>
      <c r="D733" s="30">
        <f t="shared" si="554"/>
        <v>0.16426096549253039</v>
      </c>
      <c r="E733" s="30">
        <f t="shared" si="554"/>
        <v>0.16426096549253039</v>
      </c>
      <c r="F733" s="30">
        <f t="shared" si="554"/>
        <v>0.16426096549253039</v>
      </c>
      <c r="G733" s="30">
        <f t="shared" si="554"/>
        <v>0.16426096549253039</v>
      </c>
      <c r="H733" s="30">
        <f t="shared" si="554"/>
        <v>0.16426096549253039</v>
      </c>
      <c r="I733" s="30">
        <f t="shared" si="554"/>
        <v>0.16426096549253039</v>
      </c>
      <c r="J733" s="30">
        <f t="shared" si="554"/>
        <v>0.16426096549253039</v>
      </c>
      <c r="K733" s="30">
        <f t="shared" si="554"/>
        <v>0.16426096549253039</v>
      </c>
      <c r="L733" s="30">
        <f t="shared" si="554"/>
        <v>0.16426096549253039</v>
      </c>
      <c r="M733" s="30">
        <f t="shared" si="554"/>
        <v>0.16426096549253039</v>
      </c>
      <c r="N733" s="30">
        <f t="shared" si="554"/>
        <v>0.16426096549253039</v>
      </c>
      <c r="O733" s="30">
        <f t="shared" si="554"/>
        <v>0.16426096549253039</v>
      </c>
      <c r="P733" s="30">
        <f t="shared" si="554"/>
        <v>0.16426096549253039</v>
      </c>
      <c r="Q733" s="30">
        <f t="shared" si="554"/>
        <v>0.16426096549253039</v>
      </c>
      <c r="R733" s="30">
        <f t="shared" si="554"/>
        <v>0.16426096549253039</v>
      </c>
      <c r="S733" s="30">
        <f t="shared" si="554"/>
        <v>0.16426096549253039</v>
      </c>
      <c r="T733" s="30">
        <f t="shared" si="554"/>
        <v>0.16426096549253039</v>
      </c>
      <c r="U733" s="30">
        <f t="shared" si="554"/>
        <v>0.16426096549253039</v>
      </c>
      <c r="V733" s="30">
        <f t="shared" si="554"/>
        <v>0.16426096549253039</v>
      </c>
      <c r="W733" s="30">
        <f t="shared" si="554"/>
        <v>0.16426096549253039</v>
      </c>
      <c r="X733" s="30">
        <f t="shared" si="554"/>
        <v>0.16426096549253039</v>
      </c>
      <c r="Y733" s="30">
        <f t="shared" si="554"/>
        <v>0.16426096549253039</v>
      </c>
      <c r="Z733" s="30">
        <f t="shared" si="554"/>
        <v>0.16426096549253039</v>
      </c>
      <c r="AA733" s="30">
        <f t="shared" si="554"/>
        <v>0.16426096549253039</v>
      </c>
      <c r="AB733" s="30">
        <f t="shared" si="554"/>
        <v>0.16426096549253039</v>
      </c>
      <c r="AC733" s="30">
        <f t="shared" si="554"/>
        <v>0.16426096549253039</v>
      </c>
      <c r="AD733" s="30">
        <f t="shared" si="554"/>
        <v>0.16426096549253039</v>
      </c>
      <c r="AE733" s="30">
        <f t="shared" si="554"/>
        <v>0.16426096549253039</v>
      </c>
      <c r="AF733" s="30">
        <f t="shared" si="554"/>
        <v>0.16426096549253039</v>
      </c>
      <c r="AG733" s="26"/>
    </row>
    <row r="734" spans="1:33" s="221" customFormat="1" x14ac:dyDescent="0.2">
      <c r="A734" s="4" t="s">
        <v>97</v>
      </c>
      <c r="B734" s="237"/>
      <c r="C734" s="515">
        <f>IF(C$729&gt;C733,C730+((C731-C730)/2),C730-((C730-C732)/2))</f>
        <v>-1250000000</v>
      </c>
      <c r="D734" s="515">
        <f t="shared" ref="D734:AF734" si="555">IF(D$729&gt;D733,D730+((D731-D730)/2),D730-((D730-D732)/2))</f>
        <v>-1250000000</v>
      </c>
      <c r="E734" s="515">
        <f t="shared" si="555"/>
        <v>-1250000000</v>
      </c>
      <c r="F734" s="515">
        <f t="shared" si="555"/>
        <v>-1250000000</v>
      </c>
      <c r="G734" s="515">
        <f t="shared" si="555"/>
        <v>-1250000000</v>
      </c>
      <c r="H734" s="515">
        <f t="shared" si="555"/>
        <v>-1250000000</v>
      </c>
      <c r="I734" s="515">
        <f t="shared" si="555"/>
        <v>-1250000000</v>
      </c>
      <c r="J734" s="515">
        <f t="shared" si="555"/>
        <v>-1250000000</v>
      </c>
      <c r="K734" s="515">
        <f t="shared" si="555"/>
        <v>-1250000000</v>
      </c>
      <c r="L734" s="515">
        <f t="shared" si="555"/>
        <v>-1250000000</v>
      </c>
      <c r="M734" s="515">
        <f t="shared" si="555"/>
        <v>-1250000000</v>
      </c>
      <c r="N734" s="515">
        <f t="shared" si="555"/>
        <v>-1250000000</v>
      </c>
      <c r="O734" s="515">
        <f t="shared" si="555"/>
        <v>-1250000000</v>
      </c>
      <c r="P734" s="515">
        <f t="shared" si="555"/>
        <v>-1250000000</v>
      </c>
      <c r="Q734" s="515">
        <f t="shared" si="555"/>
        <v>-1250000000</v>
      </c>
      <c r="R734" s="515">
        <f t="shared" si="555"/>
        <v>-1250000000</v>
      </c>
      <c r="S734" s="515">
        <f t="shared" si="555"/>
        <v>-1250000000</v>
      </c>
      <c r="T734" s="515">
        <f t="shared" si="555"/>
        <v>-1250000000</v>
      </c>
      <c r="U734" s="515">
        <f t="shared" si="555"/>
        <v>-1250000000</v>
      </c>
      <c r="V734" s="515">
        <f t="shared" si="555"/>
        <v>-1250000000</v>
      </c>
      <c r="W734" s="515">
        <f t="shared" si="555"/>
        <v>-1250000000</v>
      </c>
      <c r="X734" s="515">
        <f t="shared" si="555"/>
        <v>-1250000000</v>
      </c>
      <c r="Y734" s="515">
        <f t="shared" si="555"/>
        <v>-1250000000</v>
      </c>
      <c r="Z734" s="515">
        <f t="shared" si="555"/>
        <v>-1250000000</v>
      </c>
      <c r="AA734" s="515">
        <f t="shared" si="555"/>
        <v>3750000000</v>
      </c>
      <c r="AB734" s="515">
        <f t="shared" si="555"/>
        <v>3750000000</v>
      </c>
      <c r="AC734" s="515">
        <f t="shared" si="555"/>
        <v>3750000000</v>
      </c>
      <c r="AD734" s="515">
        <f t="shared" si="555"/>
        <v>3750000000</v>
      </c>
      <c r="AE734" s="515">
        <f t="shared" si="555"/>
        <v>3750000000</v>
      </c>
      <c r="AF734" s="515">
        <f t="shared" si="555"/>
        <v>3750000000</v>
      </c>
      <c r="AG734" s="86"/>
    </row>
    <row r="735" spans="1:33" s="221" customFormat="1" x14ac:dyDescent="0.2">
      <c r="A735" s="4" t="s">
        <v>98</v>
      </c>
      <c r="B735" s="237"/>
      <c r="C735" s="515">
        <f>IF(C$729&lt;C733,C730,C731)</f>
        <v>2500000000</v>
      </c>
      <c r="D735" s="515">
        <f t="shared" ref="D735:AF735" si="556">IF(D$729&lt;D733,D730,D731)</f>
        <v>2500000000</v>
      </c>
      <c r="E735" s="515">
        <f t="shared" si="556"/>
        <v>2500000000</v>
      </c>
      <c r="F735" s="515">
        <f t="shared" si="556"/>
        <v>2500000000</v>
      </c>
      <c r="G735" s="515">
        <f t="shared" si="556"/>
        <v>2500000000</v>
      </c>
      <c r="H735" s="515">
        <f t="shared" si="556"/>
        <v>2500000000</v>
      </c>
      <c r="I735" s="515">
        <f t="shared" si="556"/>
        <v>2500000000</v>
      </c>
      <c r="J735" s="515">
        <f t="shared" si="556"/>
        <v>2500000000</v>
      </c>
      <c r="K735" s="515">
        <f t="shared" si="556"/>
        <v>2500000000</v>
      </c>
      <c r="L735" s="515">
        <f t="shared" si="556"/>
        <v>2500000000</v>
      </c>
      <c r="M735" s="515">
        <f t="shared" si="556"/>
        <v>2500000000</v>
      </c>
      <c r="N735" s="515">
        <f t="shared" si="556"/>
        <v>2500000000</v>
      </c>
      <c r="O735" s="515">
        <f t="shared" si="556"/>
        <v>2500000000</v>
      </c>
      <c r="P735" s="515">
        <f t="shared" si="556"/>
        <v>2500000000</v>
      </c>
      <c r="Q735" s="515">
        <f t="shared" si="556"/>
        <v>2500000000</v>
      </c>
      <c r="R735" s="515">
        <f t="shared" si="556"/>
        <v>2500000000</v>
      </c>
      <c r="S735" s="515">
        <f t="shared" si="556"/>
        <v>2500000000</v>
      </c>
      <c r="T735" s="515">
        <f t="shared" si="556"/>
        <v>2500000000</v>
      </c>
      <c r="U735" s="515">
        <f t="shared" si="556"/>
        <v>2500000000</v>
      </c>
      <c r="V735" s="515">
        <f t="shared" si="556"/>
        <v>2500000000</v>
      </c>
      <c r="W735" s="515">
        <f t="shared" si="556"/>
        <v>2500000000</v>
      </c>
      <c r="X735" s="515">
        <f t="shared" si="556"/>
        <v>2500000000</v>
      </c>
      <c r="Y735" s="515">
        <f t="shared" si="556"/>
        <v>2500000000</v>
      </c>
      <c r="Z735" s="515">
        <f t="shared" si="556"/>
        <v>2500000000</v>
      </c>
      <c r="AA735" s="515">
        <f t="shared" si="556"/>
        <v>5000000000</v>
      </c>
      <c r="AB735" s="515">
        <f t="shared" si="556"/>
        <v>5000000000</v>
      </c>
      <c r="AC735" s="515">
        <f t="shared" si="556"/>
        <v>5000000000</v>
      </c>
      <c r="AD735" s="515">
        <f t="shared" si="556"/>
        <v>5000000000</v>
      </c>
      <c r="AE735" s="515">
        <f t="shared" si="556"/>
        <v>5000000000</v>
      </c>
      <c r="AF735" s="515">
        <f t="shared" si="556"/>
        <v>5000000000</v>
      </c>
      <c r="AG735" s="86"/>
    </row>
    <row r="736" spans="1:33" s="221" customFormat="1" x14ac:dyDescent="0.2">
      <c r="A736" s="4" t="s">
        <v>99</v>
      </c>
      <c r="B736" s="237"/>
      <c r="C736" s="515">
        <f>IF(C$729&gt;C733,C730,C732)</f>
        <v>-5000000000</v>
      </c>
      <c r="D736" s="515">
        <f t="shared" ref="D736:AF736" si="557">IF(D$729&gt;D733,D730,D732)</f>
        <v>-5000000000</v>
      </c>
      <c r="E736" s="515">
        <f t="shared" si="557"/>
        <v>-5000000000</v>
      </c>
      <c r="F736" s="515">
        <f t="shared" si="557"/>
        <v>-5000000000</v>
      </c>
      <c r="G736" s="515">
        <f t="shared" si="557"/>
        <v>-5000000000</v>
      </c>
      <c r="H736" s="515">
        <f t="shared" si="557"/>
        <v>-5000000000</v>
      </c>
      <c r="I736" s="515">
        <f t="shared" si="557"/>
        <v>-5000000000</v>
      </c>
      <c r="J736" s="515">
        <f t="shared" si="557"/>
        <v>-5000000000</v>
      </c>
      <c r="K736" s="515">
        <f t="shared" si="557"/>
        <v>-5000000000</v>
      </c>
      <c r="L736" s="515">
        <f t="shared" si="557"/>
        <v>-5000000000</v>
      </c>
      <c r="M736" s="515">
        <f t="shared" si="557"/>
        <v>-5000000000</v>
      </c>
      <c r="N736" s="515">
        <f t="shared" si="557"/>
        <v>-5000000000</v>
      </c>
      <c r="O736" s="515">
        <f t="shared" si="557"/>
        <v>-5000000000</v>
      </c>
      <c r="P736" s="515">
        <f t="shared" si="557"/>
        <v>-5000000000</v>
      </c>
      <c r="Q736" s="515">
        <f t="shared" si="557"/>
        <v>-5000000000</v>
      </c>
      <c r="R736" s="515">
        <f t="shared" si="557"/>
        <v>-5000000000</v>
      </c>
      <c r="S736" s="515">
        <f t="shared" si="557"/>
        <v>-5000000000</v>
      </c>
      <c r="T736" s="515">
        <f t="shared" si="557"/>
        <v>-5000000000</v>
      </c>
      <c r="U736" s="515">
        <f t="shared" si="557"/>
        <v>-5000000000</v>
      </c>
      <c r="V736" s="515">
        <f t="shared" si="557"/>
        <v>-5000000000</v>
      </c>
      <c r="W736" s="515">
        <f t="shared" si="557"/>
        <v>-5000000000</v>
      </c>
      <c r="X736" s="515">
        <f t="shared" si="557"/>
        <v>-5000000000</v>
      </c>
      <c r="Y736" s="515">
        <f t="shared" si="557"/>
        <v>-5000000000</v>
      </c>
      <c r="Z736" s="515">
        <f t="shared" si="557"/>
        <v>-5000000000</v>
      </c>
      <c r="AA736" s="515">
        <f t="shared" si="557"/>
        <v>2500000000</v>
      </c>
      <c r="AB736" s="515">
        <f t="shared" si="557"/>
        <v>2500000000</v>
      </c>
      <c r="AC736" s="515">
        <f t="shared" si="557"/>
        <v>2500000000</v>
      </c>
      <c r="AD736" s="515">
        <f t="shared" si="557"/>
        <v>2500000000</v>
      </c>
      <c r="AE736" s="515">
        <f t="shared" si="557"/>
        <v>2500000000</v>
      </c>
      <c r="AF736" s="515">
        <f t="shared" si="557"/>
        <v>2500000000</v>
      </c>
      <c r="AG736" s="86"/>
    </row>
    <row r="737" spans="1:33" s="220" customFormat="1" x14ac:dyDescent="0.2">
      <c r="A737" s="4" t="s">
        <v>100</v>
      </c>
      <c r="B737" s="236"/>
      <c r="C737" s="30">
        <f t="shared" ref="C737:AF737" si="558">(1/C245)*((EXP(C$241*C734)-1)/(EXP(C$242*C734)-1))</f>
        <v>2.9132458562340775E-2</v>
      </c>
      <c r="D737" s="30">
        <f t="shared" si="558"/>
        <v>2.9132458562340775E-2</v>
      </c>
      <c r="E737" s="30">
        <f t="shared" si="558"/>
        <v>2.9132458562340775E-2</v>
      </c>
      <c r="F737" s="30">
        <f t="shared" si="558"/>
        <v>2.9132458562340775E-2</v>
      </c>
      <c r="G737" s="30">
        <f t="shared" si="558"/>
        <v>2.9132458562340775E-2</v>
      </c>
      <c r="H737" s="30">
        <f t="shared" si="558"/>
        <v>2.9132458562340775E-2</v>
      </c>
      <c r="I737" s="30">
        <f t="shared" si="558"/>
        <v>2.9132458562340775E-2</v>
      </c>
      <c r="J737" s="30">
        <f t="shared" si="558"/>
        <v>2.9132458562340775E-2</v>
      </c>
      <c r="K737" s="30">
        <f t="shared" si="558"/>
        <v>2.9132458562340775E-2</v>
      </c>
      <c r="L737" s="30">
        <f t="shared" si="558"/>
        <v>2.9132458562340775E-2</v>
      </c>
      <c r="M737" s="30">
        <f t="shared" si="558"/>
        <v>2.9132458562340775E-2</v>
      </c>
      <c r="N737" s="30">
        <f t="shared" si="558"/>
        <v>2.9132458562340775E-2</v>
      </c>
      <c r="O737" s="30">
        <f t="shared" si="558"/>
        <v>2.9132458562340775E-2</v>
      </c>
      <c r="P737" s="30">
        <f t="shared" si="558"/>
        <v>2.9132458562340775E-2</v>
      </c>
      <c r="Q737" s="30">
        <f t="shared" si="558"/>
        <v>2.9132458562340775E-2</v>
      </c>
      <c r="R737" s="30">
        <f t="shared" si="558"/>
        <v>2.9132458562340775E-2</v>
      </c>
      <c r="S737" s="30">
        <f t="shared" si="558"/>
        <v>2.9132458562340775E-2</v>
      </c>
      <c r="T737" s="30">
        <f t="shared" si="558"/>
        <v>2.9132458562340775E-2</v>
      </c>
      <c r="U737" s="30">
        <f t="shared" si="558"/>
        <v>2.9132458562340775E-2</v>
      </c>
      <c r="V737" s="30">
        <f t="shared" si="558"/>
        <v>2.9132458562340775E-2</v>
      </c>
      <c r="W737" s="30">
        <f t="shared" si="558"/>
        <v>2.9132458562340775E-2</v>
      </c>
      <c r="X737" s="30">
        <f t="shared" si="558"/>
        <v>2.9132458562340775E-2</v>
      </c>
      <c r="Y737" s="30">
        <f t="shared" si="558"/>
        <v>2.9132458562340775E-2</v>
      </c>
      <c r="Z737" s="30">
        <f t="shared" si="558"/>
        <v>2.9132458562340775E-2</v>
      </c>
      <c r="AA737" s="30">
        <f t="shared" si="558"/>
        <v>0.36003453420443593</v>
      </c>
      <c r="AB737" s="30">
        <f t="shared" si="558"/>
        <v>0.36003453420443593</v>
      </c>
      <c r="AC737" s="30">
        <f t="shared" si="558"/>
        <v>0.36003453420443593</v>
      </c>
      <c r="AD737" s="30">
        <f t="shared" si="558"/>
        <v>0.36003453420443593</v>
      </c>
      <c r="AE737" s="30">
        <f t="shared" si="558"/>
        <v>0.36003453420443593</v>
      </c>
      <c r="AF737" s="30">
        <f t="shared" si="558"/>
        <v>0.36003453420443593</v>
      </c>
      <c r="AG737" s="26"/>
    </row>
    <row r="738" spans="1:33" s="221" customFormat="1" x14ac:dyDescent="0.2">
      <c r="A738" s="4" t="s">
        <v>97</v>
      </c>
      <c r="B738" s="237"/>
      <c r="C738" s="515">
        <f>IF(C$729&gt;C737,C734+((C735-C734)/2),C734-((C734-C736)/2))</f>
        <v>625000000</v>
      </c>
      <c r="D738" s="515">
        <f t="shared" ref="D738:AF738" si="559">IF(D$729&gt;D737,D734+((D735-D734)/2),D734-((D734-D736)/2))</f>
        <v>-3125000000</v>
      </c>
      <c r="E738" s="515">
        <f t="shared" si="559"/>
        <v>625000000</v>
      </c>
      <c r="F738" s="515">
        <f t="shared" si="559"/>
        <v>625000000</v>
      </c>
      <c r="G738" s="515">
        <f t="shared" si="559"/>
        <v>625000000</v>
      </c>
      <c r="H738" s="515">
        <f t="shared" si="559"/>
        <v>625000000</v>
      </c>
      <c r="I738" s="515">
        <f t="shared" si="559"/>
        <v>625000000</v>
      </c>
      <c r="J738" s="515">
        <f t="shared" si="559"/>
        <v>625000000</v>
      </c>
      <c r="K738" s="515">
        <f t="shared" si="559"/>
        <v>625000000</v>
      </c>
      <c r="L738" s="515">
        <f t="shared" si="559"/>
        <v>625000000</v>
      </c>
      <c r="M738" s="515">
        <f t="shared" si="559"/>
        <v>625000000</v>
      </c>
      <c r="N738" s="515">
        <f t="shared" si="559"/>
        <v>625000000</v>
      </c>
      <c r="O738" s="515">
        <f t="shared" si="559"/>
        <v>625000000</v>
      </c>
      <c r="P738" s="515">
        <f t="shared" si="559"/>
        <v>625000000</v>
      </c>
      <c r="Q738" s="515">
        <f t="shared" si="559"/>
        <v>625000000</v>
      </c>
      <c r="R738" s="515">
        <f t="shared" si="559"/>
        <v>625000000</v>
      </c>
      <c r="S738" s="515">
        <f t="shared" si="559"/>
        <v>625000000</v>
      </c>
      <c r="T738" s="515">
        <f t="shared" si="559"/>
        <v>625000000</v>
      </c>
      <c r="U738" s="515">
        <f t="shared" si="559"/>
        <v>625000000</v>
      </c>
      <c r="V738" s="515">
        <f t="shared" si="559"/>
        <v>625000000</v>
      </c>
      <c r="W738" s="515">
        <f t="shared" si="559"/>
        <v>625000000</v>
      </c>
      <c r="X738" s="515">
        <f t="shared" si="559"/>
        <v>625000000</v>
      </c>
      <c r="Y738" s="515">
        <f t="shared" si="559"/>
        <v>625000000</v>
      </c>
      <c r="Z738" s="515">
        <f t="shared" si="559"/>
        <v>625000000</v>
      </c>
      <c r="AA738" s="515">
        <f t="shared" si="559"/>
        <v>3125000000</v>
      </c>
      <c r="AB738" s="515">
        <f t="shared" si="559"/>
        <v>3125000000</v>
      </c>
      <c r="AC738" s="515">
        <f t="shared" si="559"/>
        <v>3125000000</v>
      </c>
      <c r="AD738" s="515">
        <f t="shared" si="559"/>
        <v>3125000000</v>
      </c>
      <c r="AE738" s="515">
        <f t="shared" si="559"/>
        <v>3125000000</v>
      </c>
      <c r="AF738" s="515">
        <f t="shared" si="559"/>
        <v>3125000000</v>
      </c>
      <c r="AG738" s="86"/>
    </row>
    <row r="739" spans="1:33" s="221" customFormat="1" x14ac:dyDescent="0.2">
      <c r="A739" s="4" t="s">
        <v>98</v>
      </c>
      <c r="B739" s="237"/>
      <c r="C739" s="515">
        <f>IF(C$729&lt;C737,C734,C735)</f>
        <v>2500000000</v>
      </c>
      <c r="D739" s="515">
        <f t="shared" ref="D739:AF739" si="560">IF(D$729&lt;D737,D734,D735)</f>
        <v>-1250000000</v>
      </c>
      <c r="E739" s="515">
        <f t="shared" si="560"/>
        <v>2500000000</v>
      </c>
      <c r="F739" s="515">
        <f t="shared" si="560"/>
        <v>2500000000</v>
      </c>
      <c r="G739" s="515">
        <f t="shared" si="560"/>
        <v>2500000000</v>
      </c>
      <c r="H739" s="515">
        <f t="shared" si="560"/>
        <v>2500000000</v>
      </c>
      <c r="I739" s="515">
        <f t="shared" si="560"/>
        <v>2500000000</v>
      </c>
      <c r="J739" s="515">
        <f t="shared" si="560"/>
        <v>2500000000</v>
      </c>
      <c r="K739" s="515">
        <f t="shared" si="560"/>
        <v>2500000000</v>
      </c>
      <c r="L739" s="515">
        <f t="shared" si="560"/>
        <v>2500000000</v>
      </c>
      <c r="M739" s="515">
        <f t="shared" si="560"/>
        <v>2500000000</v>
      </c>
      <c r="N739" s="515">
        <f t="shared" si="560"/>
        <v>2500000000</v>
      </c>
      <c r="O739" s="515">
        <f t="shared" si="560"/>
        <v>2500000000</v>
      </c>
      <c r="P739" s="515">
        <f t="shared" si="560"/>
        <v>2500000000</v>
      </c>
      <c r="Q739" s="515">
        <f t="shared" si="560"/>
        <v>2500000000</v>
      </c>
      <c r="R739" s="515">
        <f t="shared" si="560"/>
        <v>2500000000</v>
      </c>
      <c r="S739" s="515">
        <f t="shared" si="560"/>
        <v>2500000000</v>
      </c>
      <c r="T739" s="515">
        <f t="shared" si="560"/>
        <v>2500000000</v>
      </c>
      <c r="U739" s="515">
        <f t="shared" si="560"/>
        <v>2500000000</v>
      </c>
      <c r="V739" s="515">
        <f t="shared" si="560"/>
        <v>2500000000</v>
      </c>
      <c r="W739" s="515">
        <f t="shared" si="560"/>
        <v>2500000000</v>
      </c>
      <c r="X739" s="515">
        <f t="shared" si="560"/>
        <v>2500000000</v>
      </c>
      <c r="Y739" s="515">
        <f t="shared" si="560"/>
        <v>2500000000</v>
      </c>
      <c r="Z739" s="515">
        <f t="shared" si="560"/>
        <v>2500000000</v>
      </c>
      <c r="AA739" s="515">
        <f t="shared" si="560"/>
        <v>3750000000</v>
      </c>
      <c r="AB739" s="515">
        <f t="shared" si="560"/>
        <v>3750000000</v>
      </c>
      <c r="AC739" s="515">
        <f t="shared" si="560"/>
        <v>3750000000</v>
      </c>
      <c r="AD739" s="515">
        <f t="shared" si="560"/>
        <v>3750000000</v>
      </c>
      <c r="AE739" s="515">
        <f t="shared" si="560"/>
        <v>3750000000</v>
      </c>
      <c r="AF739" s="515">
        <f t="shared" si="560"/>
        <v>3750000000</v>
      </c>
      <c r="AG739" s="86"/>
    </row>
    <row r="740" spans="1:33" s="221" customFormat="1" x14ac:dyDescent="0.2">
      <c r="A740" s="4" t="s">
        <v>99</v>
      </c>
      <c r="B740" s="237"/>
      <c r="C740" s="515">
        <f>IF(C$729&gt;C737,C734,C736)</f>
        <v>-1250000000</v>
      </c>
      <c r="D740" s="515">
        <f t="shared" ref="D740:AF740" si="561">IF(D$729&gt;D737,D734,D736)</f>
        <v>-5000000000</v>
      </c>
      <c r="E740" s="515">
        <f t="shared" si="561"/>
        <v>-1250000000</v>
      </c>
      <c r="F740" s="515">
        <f t="shared" si="561"/>
        <v>-1250000000</v>
      </c>
      <c r="G740" s="515">
        <f t="shared" si="561"/>
        <v>-1250000000</v>
      </c>
      <c r="H740" s="515">
        <f t="shared" si="561"/>
        <v>-1250000000</v>
      </c>
      <c r="I740" s="515">
        <f t="shared" si="561"/>
        <v>-1250000000</v>
      </c>
      <c r="J740" s="515">
        <f t="shared" si="561"/>
        <v>-1250000000</v>
      </c>
      <c r="K740" s="515">
        <f t="shared" si="561"/>
        <v>-1250000000</v>
      </c>
      <c r="L740" s="515">
        <f t="shared" si="561"/>
        <v>-1250000000</v>
      </c>
      <c r="M740" s="515">
        <f t="shared" si="561"/>
        <v>-1250000000</v>
      </c>
      <c r="N740" s="515">
        <f t="shared" si="561"/>
        <v>-1250000000</v>
      </c>
      <c r="O740" s="515">
        <f t="shared" si="561"/>
        <v>-1250000000</v>
      </c>
      <c r="P740" s="515">
        <f t="shared" si="561"/>
        <v>-1250000000</v>
      </c>
      <c r="Q740" s="515">
        <f t="shared" si="561"/>
        <v>-1250000000</v>
      </c>
      <c r="R740" s="515">
        <f t="shared" si="561"/>
        <v>-1250000000</v>
      </c>
      <c r="S740" s="515">
        <f t="shared" si="561"/>
        <v>-1250000000</v>
      </c>
      <c r="T740" s="515">
        <f t="shared" si="561"/>
        <v>-1250000000</v>
      </c>
      <c r="U740" s="515">
        <f t="shared" si="561"/>
        <v>-1250000000</v>
      </c>
      <c r="V740" s="515">
        <f t="shared" si="561"/>
        <v>-1250000000</v>
      </c>
      <c r="W740" s="515">
        <f t="shared" si="561"/>
        <v>-1250000000</v>
      </c>
      <c r="X740" s="515">
        <f t="shared" si="561"/>
        <v>-1250000000</v>
      </c>
      <c r="Y740" s="515">
        <f t="shared" si="561"/>
        <v>-1250000000</v>
      </c>
      <c r="Z740" s="515">
        <f t="shared" si="561"/>
        <v>-1250000000</v>
      </c>
      <c r="AA740" s="515">
        <f t="shared" si="561"/>
        <v>2500000000</v>
      </c>
      <c r="AB740" s="515">
        <f t="shared" si="561"/>
        <v>2500000000</v>
      </c>
      <c r="AC740" s="515">
        <f t="shared" si="561"/>
        <v>2500000000</v>
      </c>
      <c r="AD740" s="515">
        <f t="shared" si="561"/>
        <v>2500000000</v>
      </c>
      <c r="AE740" s="515">
        <f t="shared" si="561"/>
        <v>2500000000</v>
      </c>
      <c r="AF740" s="515">
        <f t="shared" si="561"/>
        <v>2500000000</v>
      </c>
      <c r="AG740" s="86"/>
    </row>
    <row r="741" spans="1:33" s="220" customFormat="1" x14ac:dyDescent="0.2">
      <c r="A741" s="4" t="s">
        <v>100</v>
      </c>
      <c r="B741" s="236"/>
      <c r="C741" s="30">
        <f t="shared" ref="C741:AF741" si="562">(1/C245)*((EXP(C$241*C738)-1)/(EXP(C$242*C738)-1))</f>
        <v>6.0598136209060426E-2</v>
      </c>
      <c r="D741" s="30">
        <f t="shared" si="562"/>
        <v>1.8009685367233713E-2</v>
      </c>
      <c r="E741" s="30">
        <f t="shared" si="562"/>
        <v>6.0598136209060426E-2</v>
      </c>
      <c r="F741" s="30">
        <f t="shared" si="562"/>
        <v>6.0598136209060426E-2</v>
      </c>
      <c r="G741" s="30">
        <f t="shared" si="562"/>
        <v>6.0598136209060426E-2</v>
      </c>
      <c r="H741" s="30">
        <f t="shared" si="562"/>
        <v>6.0598136209060426E-2</v>
      </c>
      <c r="I741" s="30">
        <f t="shared" si="562"/>
        <v>6.0598136209060426E-2</v>
      </c>
      <c r="J741" s="30">
        <f t="shared" si="562"/>
        <v>6.0598136209060426E-2</v>
      </c>
      <c r="K741" s="30">
        <f t="shared" si="562"/>
        <v>6.0598136209060426E-2</v>
      </c>
      <c r="L741" s="30">
        <f t="shared" si="562"/>
        <v>6.0598136209060426E-2</v>
      </c>
      <c r="M741" s="30">
        <f t="shared" si="562"/>
        <v>6.0598136209060426E-2</v>
      </c>
      <c r="N741" s="30">
        <f t="shared" si="562"/>
        <v>6.0598136209060426E-2</v>
      </c>
      <c r="O741" s="30">
        <f t="shared" si="562"/>
        <v>6.0598136209060426E-2</v>
      </c>
      <c r="P741" s="30">
        <f t="shared" si="562"/>
        <v>6.0598136209060426E-2</v>
      </c>
      <c r="Q741" s="30">
        <f t="shared" si="562"/>
        <v>6.0598136209060426E-2</v>
      </c>
      <c r="R741" s="30">
        <f t="shared" si="562"/>
        <v>6.0598136209060426E-2</v>
      </c>
      <c r="S741" s="30">
        <f t="shared" si="562"/>
        <v>6.0598136209060426E-2</v>
      </c>
      <c r="T741" s="30">
        <f t="shared" si="562"/>
        <v>6.0598136209060426E-2</v>
      </c>
      <c r="U741" s="30">
        <f t="shared" si="562"/>
        <v>6.0598136209060426E-2</v>
      </c>
      <c r="V741" s="30">
        <f t="shared" si="562"/>
        <v>6.0598136209060426E-2</v>
      </c>
      <c r="W741" s="30">
        <f t="shared" si="562"/>
        <v>6.0598136209060426E-2</v>
      </c>
      <c r="X741" s="30">
        <f t="shared" si="562"/>
        <v>6.0598136209060426E-2</v>
      </c>
      <c r="Y741" s="30">
        <f t="shared" si="562"/>
        <v>6.0598136209060426E-2</v>
      </c>
      <c r="Z741" s="30">
        <f t="shared" si="562"/>
        <v>6.0598136209060426E-2</v>
      </c>
      <c r="AA741" s="30">
        <f t="shared" si="562"/>
        <v>0.24075993438401602</v>
      </c>
      <c r="AB741" s="30">
        <f t="shared" si="562"/>
        <v>0.24075993438401602</v>
      </c>
      <c r="AC741" s="30">
        <f t="shared" si="562"/>
        <v>0.24075993438401602</v>
      </c>
      <c r="AD741" s="30">
        <f t="shared" si="562"/>
        <v>0.24075993438401602</v>
      </c>
      <c r="AE741" s="30">
        <f t="shared" si="562"/>
        <v>0.24075993438401602</v>
      </c>
      <c r="AF741" s="30">
        <f t="shared" si="562"/>
        <v>0.24075993438401602</v>
      </c>
      <c r="AG741" s="26"/>
    </row>
    <row r="742" spans="1:33" s="221" customFormat="1" x14ac:dyDescent="0.2">
      <c r="A742" s="4" t="s">
        <v>97</v>
      </c>
      <c r="B742" s="237"/>
      <c r="C742" s="515">
        <f>IF(C$729&gt;C741,C738+((C739-C738)/2),C738-((C738-C740)/2))</f>
        <v>-312500000</v>
      </c>
      <c r="D742" s="515">
        <f t="shared" ref="D742:AF742" si="563">IF(D$729&gt;D741,D738+((D739-D738)/2),D738-((D738-D740)/2))</f>
        <v>-4062500000</v>
      </c>
      <c r="E742" s="515">
        <f t="shared" si="563"/>
        <v>-312500000</v>
      </c>
      <c r="F742" s="515">
        <f t="shared" si="563"/>
        <v>-312500000</v>
      </c>
      <c r="G742" s="515">
        <f t="shared" si="563"/>
        <v>-312500000</v>
      </c>
      <c r="H742" s="515">
        <f t="shared" si="563"/>
        <v>-312500000</v>
      </c>
      <c r="I742" s="515">
        <f t="shared" si="563"/>
        <v>-312500000</v>
      </c>
      <c r="J742" s="515">
        <f t="shared" si="563"/>
        <v>-312500000</v>
      </c>
      <c r="K742" s="515">
        <f t="shared" si="563"/>
        <v>-312500000</v>
      </c>
      <c r="L742" s="515">
        <f t="shared" si="563"/>
        <v>-312500000</v>
      </c>
      <c r="M742" s="515">
        <f t="shared" si="563"/>
        <v>-312500000</v>
      </c>
      <c r="N742" s="515">
        <f t="shared" si="563"/>
        <v>-312500000</v>
      </c>
      <c r="O742" s="515">
        <f t="shared" si="563"/>
        <v>-312500000</v>
      </c>
      <c r="P742" s="515">
        <f t="shared" si="563"/>
        <v>-312500000</v>
      </c>
      <c r="Q742" s="515">
        <f t="shared" si="563"/>
        <v>-312500000</v>
      </c>
      <c r="R742" s="515">
        <f t="shared" si="563"/>
        <v>-312500000</v>
      </c>
      <c r="S742" s="515">
        <f t="shared" si="563"/>
        <v>-312500000</v>
      </c>
      <c r="T742" s="515">
        <f t="shared" si="563"/>
        <v>-312500000</v>
      </c>
      <c r="U742" s="515">
        <f t="shared" si="563"/>
        <v>-312500000</v>
      </c>
      <c r="V742" s="515">
        <f t="shared" si="563"/>
        <v>-312500000</v>
      </c>
      <c r="W742" s="515">
        <f t="shared" si="563"/>
        <v>-312500000</v>
      </c>
      <c r="X742" s="515">
        <f t="shared" si="563"/>
        <v>-312500000</v>
      </c>
      <c r="Y742" s="515">
        <f t="shared" si="563"/>
        <v>-312500000</v>
      </c>
      <c r="Z742" s="515">
        <f t="shared" si="563"/>
        <v>-312500000</v>
      </c>
      <c r="AA742" s="515">
        <f t="shared" si="563"/>
        <v>2812500000</v>
      </c>
      <c r="AB742" s="515">
        <f t="shared" si="563"/>
        <v>2812500000</v>
      </c>
      <c r="AC742" s="515">
        <f t="shared" si="563"/>
        <v>2812500000</v>
      </c>
      <c r="AD742" s="515">
        <f t="shared" si="563"/>
        <v>2812500000</v>
      </c>
      <c r="AE742" s="515">
        <f t="shared" si="563"/>
        <v>2812500000</v>
      </c>
      <c r="AF742" s="515">
        <f t="shared" si="563"/>
        <v>2812500000</v>
      </c>
      <c r="AG742" s="86"/>
    </row>
    <row r="743" spans="1:33" s="221" customFormat="1" x14ac:dyDescent="0.2">
      <c r="A743" s="4" t="s">
        <v>98</v>
      </c>
      <c r="B743" s="237"/>
      <c r="C743" s="515">
        <f>IF(C$729&lt;C741,C738,C739)</f>
        <v>625000000</v>
      </c>
      <c r="D743" s="515">
        <f t="shared" ref="D743:AF743" si="564">IF(D$729&lt;D741,D738,D739)</f>
        <v>-3125000000</v>
      </c>
      <c r="E743" s="515">
        <f t="shared" si="564"/>
        <v>625000000</v>
      </c>
      <c r="F743" s="515">
        <f t="shared" si="564"/>
        <v>625000000</v>
      </c>
      <c r="G743" s="515">
        <f t="shared" si="564"/>
        <v>625000000</v>
      </c>
      <c r="H743" s="515">
        <f t="shared" si="564"/>
        <v>625000000</v>
      </c>
      <c r="I743" s="515">
        <f t="shared" si="564"/>
        <v>625000000</v>
      </c>
      <c r="J743" s="515">
        <f t="shared" si="564"/>
        <v>625000000</v>
      </c>
      <c r="K743" s="515">
        <f t="shared" si="564"/>
        <v>625000000</v>
      </c>
      <c r="L743" s="515">
        <f t="shared" si="564"/>
        <v>625000000</v>
      </c>
      <c r="M743" s="515">
        <f t="shared" si="564"/>
        <v>625000000</v>
      </c>
      <c r="N743" s="515">
        <f t="shared" si="564"/>
        <v>625000000</v>
      </c>
      <c r="O743" s="515">
        <f t="shared" si="564"/>
        <v>625000000</v>
      </c>
      <c r="P743" s="515">
        <f t="shared" si="564"/>
        <v>625000000</v>
      </c>
      <c r="Q743" s="515">
        <f t="shared" si="564"/>
        <v>625000000</v>
      </c>
      <c r="R743" s="515">
        <f t="shared" si="564"/>
        <v>625000000</v>
      </c>
      <c r="S743" s="515">
        <f t="shared" si="564"/>
        <v>625000000</v>
      </c>
      <c r="T743" s="515">
        <f t="shared" si="564"/>
        <v>625000000</v>
      </c>
      <c r="U743" s="515">
        <f t="shared" si="564"/>
        <v>625000000</v>
      </c>
      <c r="V743" s="515">
        <f t="shared" si="564"/>
        <v>625000000</v>
      </c>
      <c r="W743" s="515">
        <f t="shared" si="564"/>
        <v>625000000</v>
      </c>
      <c r="X743" s="515">
        <f t="shared" si="564"/>
        <v>625000000</v>
      </c>
      <c r="Y743" s="515">
        <f t="shared" si="564"/>
        <v>625000000</v>
      </c>
      <c r="Z743" s="515">
        <f t="shared" si="564"/>
        <v>625000000</v>
      </c>
      <c r="AA743" s="515">
        <f t="shared" si="564"/>
        <v>3125000000</v>
      </c>
      <c r="AB743" s="515">
        <f t="shared" si="564"/>
        <v>3125000000</v>
      </c>
      <c r="AC743" s="515">
        <f t="shared" si="564"/>
        <v>3125000000</v>
      </c>
      <c r="AD743" s="515">
        <f t="shared" si="564"/>
        <v>3125000000</v>
      </c>
      <c r="AE743" s="515">
        <f t="shared" si="564"/>
        <v>3125000000</v>
      </c>
      <c r="AF743" s="515">
        <f t="shared" si="564"/>
        <v>3125000000</v>
      </c>
      <c r="AG743" s="86"/>
    </row>
    <row r="744" spans="1:33" s="221" customFormat="1" x14ac:dyDescent="0.2">
      <c r="A744" s="4" t="s">
        <v>99</v>
      </c>
      <c r="B744" s="237"/>
      <c r="C744" s="515">
        <f>IF(C$729&gt;C741,C738,C740)</f>
        <v>-1250000000</v>
      </c>
      <c r="D744" s="515">
        <f t="shared" ref="D744:AF744" si="565">IF(D$729&gt;D741,D738,D740)</f>
        <v>-5000000000</v>
      </c>
      <c r="E744" s="515">
        <f t="shared" si="565"/>
        <v>-1250000000</v>
      </c>
      <c r="F744" s="515">
        <f t="shared" si="565"/>
        <v>-1250000000</v>
      </c>
      <c r="G744" s="515">
        <f t="shared" si="565"/>
        <v>-1250000000</v>
      </c>
      <c r="H744" s="515">
        <f t="shared" si="565"/>
        <v>-1250000000</v>
      </c>
      <c r="I744" s="515">
        <f t="shared" si="565"/>
        <v>-1250000000</v>
      </c>
      <c r="J744" s="515">
        <f t="shared" si="565"/>
        <v>-1250000000</v>
      </c>
      <c r="K744" s="515">
        <f t="shared" si="565"/>
        <v>-1250000000</v>
      </c>
      <c r="L744" s="515">
        <f t="shared" si="565"/>
        <v>-1250000000</v>
      </c>
      <c r="M744" s="515">
        <f t="shared" si="565"/>
        <v>-1250000000</v>
      </c>
      <c r="N744" s="515">
        <f t="shared" si="565"/>
        <v>-1250000000</v>
      </c>
      <c r="O744" s="515">
        <f t="shared" si="565"/>
        <v>-1250000000</v>
      </c>
      <c r="P744" s="515">
        <f t="shared" si="565"/>
        <v>-1250000000</v>
      </c>
      <c r="Q744" s="515">
        <f t="shared" si="565"/>
        <v>-1250000000</v>
      </c>
      <c r="R744" s="515">
        <f t="shared" si="565"/>
        <v>-1250000000</v>
      </c>
      <c r="S744" s="515">
        <f t="shared" si="565"/>
        <v>-1250000000</v>
      </c>
      <c r="T744" s="515">
        <f t="shared" si="565"/>
        <v>-1250000000</v>
      </c>
      <c r="U744" s="515">
        <f t="shared" si="565"/>
        <v>-1250000000</v>
      </c>
      <c r="V744" s="515">
        <f t="shared" si="565"/>
        <v>-1250000000</v>
      </c>
      <c r="W744" s="515">
        <f t="shared" si="565"/>
        <v>-1250000000</v>
      </c>
      <c r="X744" s="515">
        <f t="shared" si="565"/>
        <v>-1250000000</v>
      </c>
      <c r="Y744" s="515">
        <f t="shared" si="565"/>
        <v>-1250000000</v>
      </c>
      <c r="Z744" s="515">
        <f t="shared" si="565"/>
        <v>-1250000000</v>
      </c>
      <c r="AA744" s="515">
        <f t="shared" si="565"/>
        <v>2500000000</v>
      </c>
      <c r="AB744" s="515">
        <f t="shared" si="565"/>
        <v>2500000000</v>
      </c>
      <c r="AC744" s="515">
        <f t="shared" si="565"/>
        <v>2500000000</v>
      </c>
      <c r="AD744" s="515">
        <f t="shared" si="565"/>
        <v>2500000000</v>
      </c>
      <c r="AE744" s="515">
        <f t="shared" si="565"/>
        <v>2500000000</v>
      </c>
      <c r="AF744" s="515">
        <f t="shared" si="565"/>
        <v>2500000000</v>
      </c>
      <c r="AG744" s="86"/>
    </row>
    <row r="745" spans="1:33" s="220" customFormat="1" x14ac:dyDescent="0.2">
      <c r="A745" s="4" t="s">
        <v>100</v>
      </c>
      <c r="B745" s="236"/>
      <c r="C745" s="30">
        <f t="shared" ref="C745:AF745" si="566">(1/C245)*((EXP(C$241*C742)-1)/(EXP(C$242*C742)-1))</f>
        <v>4.0602544492226937E-2</v>
      </c>
      <c r="D745" s="30">
        <f t="shared" si="566"/>
        <v>1.522948994484908E-2</v>
      </c>
      <c r="E745" s="30">
        <f t="shared" si="566"/>
        <v>4.0602544492226937E-2</v>
      </c>
      <c r="F745" s="30">
        <f t="shared" si="566"/>
        <v>4.0602544492226937E-2</v>
      </c>
      <c r="G745" s="30">
        <f t="shared" si="566"/>
        <v>4.0602544492226937E-2</v>
      </c>
      <c r="H745" s="30">
        <f t="shared" si="566"/>
        <v>4.0602544492226937E-2</v>
      </c>
      <c r="I745" s="30">
        <f t="shared" si="566"/>
        <v>4.0602544492226937E-2</v>
      </c>
      <c r="J745" s="30">
        <f t="shared" si="566"/>
        <v>4.0602544492226937E-2</v>
      </c>
      <c r="K745" s="30">
        <f t="shared" si="566"/>
        <v>4.0602544492226937E-2</v>
      </c>
      <c r="L745" s="30">
        <f t="shared" si="566"/>
        <v>4.0602544492226937E-2</v>
      </c>
      <c r="M745" s="30">
        <f t="shared" si="566"/>
        <v>4.0602544492226937E-2</v>
      </c>
      <c r="N745" s="30">
        <f t="shared" si="566"/>
        <v>4.0602544492226937E-2</v>
      </c>
      <c r="O745" s="30">
        <f t="shared" si="566"/>
        <v>4.0602544492226937E-2</v>
      </c>
      <c r="P745" s="30">
        <f t="shared" si="566"/>
        <v>4.0602544492226937E-2</v>
      </c>
      <c r="Q745" s="30">
        <f t="shared" si="566"/>
        <v>4.0602544492226937E-2</v>
      </c>
      <c r="R745" s="30">
        <f t="shared" si="566"/>
        <v>4.0602544492226937E-2</v>
      </c>
      <c r="S745" s="30">
        <f t="shared" si="566"/>
        <v>4.0602544492226937E-2</v>
      </c>
      <c r="T745" s="30">
        <f t="shared" si="566"/>
        <v>4.0602544492226937E-2</v>
      </c>
      <c r="U745" s="30">
        <f t="shared" si="566"/>
        <v>4.0602544492226937E-2</v>
      </c>
      <c r="V745" s="30">
        <f t="shared" si="566"/>
        <v>4.0602544492226937E-2</v>
      </c>
      <c r="W745" s="30">
        <f t="shared" si="566"/>
        <v>4.0602544492226937E-2</v>
      </c>
      <c r="X745" s="30">
        <f t="shared" si="566"/>
        <v>4.0602544492226937E-2</v>
      </c>
      <c r="Y745" s="30">
        <f t="shared" si="566"/>
        <v>4.0602544492226937E-2</v>
      </c>
      <c r="Z745" s="30">
        <f t="shared" si="566"/>
        <v>4.0602544492226937E-2</v>
      </c>
      <c r="AA745" s="30">
        <f t="shared" si="566"/>
        <v>0.19832966396632604</v>
      </c>
      <c r="AB745" s="30">
        <f t="shared" si="566"/>
        <v>0.19832966396632604</v>
      </c>
      <c r="AC745" s="30">
        <f t="shared" si="566"/>
        <v>0.19832966396632604</v>
      </c>
      <c r="AD745" s="30">
        <f t="shared" si="566"/>
        <v>0.19832966396632604</v>
      </c>
      <c r="AE745" s="30">
        <f t="shared" si="566"/>
        <v>0.19832966396632604</v>
      </c>
      <c r="AF745" s="30">
        <f t="shared" si="566"/>
        <v>0.19832966396632604</v>
      </c>
      <c r="AG745" s="26"/>
    </row>
    <row r="746" spans="1:33" s="221" customFormat="1" x14ac:dyDescent="0.2">
      <c r="A746" s="4" t="s">
        <v>97</v>
      </c>
      <c r="B746" s="237"/>
      <c r="C746" s="515">
        <f>IF(C$729&gt;C745,C742+((C743-C742)/2),C742-((C742-C744)/2))</f>
        <v>156250000</v>
      </c>
      <c r="D746" s="515">
        <f t="shared" ref="D746:AF746" si="567">IF(D$729&gt;D745,D742+((D743-D742)/2),D742-((D742-D744)/2))</f>
        <v>-3593750000</v>
      </c>
      <c r="E746" s="515">
        <f t="shared" si="567"/>
        <v>156250000</v>
      </c>
      <c r="F746" s="515">
        <f t="shared" si="567"/>
        <v>156250000</v>
      </c>
      <c r="G746" s="515">
        <f t="shared" si="567"/>
        <v>-781250000</v>
      </c>
      <c r="H746" s="515">
        <f t="shared" si="567"/>
        <v>156250000</v>
      </c>
      <c r="I746" s="515">
        <f t="shared" si="567"/>
        <v>156250000</v>
      </c>
      <c r="J746" s="515">
        <f t="shared" si="567"/>
        <v>156250000</v>
      </c>
      <c r="K746" s="515">
        <f t="shared" si="567"/>
        <v>156250000</v>
      </c>
      <c r="L746" s="515">
        <f t="shared" si="567"/>
        <v>156250000</v>
      </c>
      <c r="M746" s="515">
        <f t="shared" si="567"/>
        <v>156250000</v>
      </c>
      <c r="N746" s="515">
        <f t="shared" si="567"/>
        <v>156250000</v>
      </c>
      <c r="O746" s="515">
        <f t="shared" si="567"/>
        <v>156250000</v>
      </c>
      <c r="P746" s="515">
        <f t="shared" si="567"/>
        <v>156250000</v>
      </c>
      <c r="Q746" s="515">
        <f t="shared" si="567"/>
        <v>156250000</v>
      </c>
      <c r="R746" s="515">
        <f t="shared" si="567"/>
        <v>156250000</v>
      </c>
      <c r="S746" s="515">
        <f t="shared" si="567"/>
        <v>156250000</v>
      </c>
      <c r="T746" s="515">
        <f t="shared" si="567"/>
        <v>156250000</v>
      </c>
      <c r="U746" s="515">
        <f t="shared" si="567"/>
        <v>156250000</v>
      </c>
      <c r="V746" s="515">
        <f t="shared" si="567"/>
        <v>156250000</v>
      </c>
      <c r="W746" s="515">
        <f t="shared" si="567"/>
        <v>156250000</v>
      </c>
      <c r="X746" s="515">
        <f t="shared" si="567"/>
        <v>156250000</v>
      </c>
      <c r="Y746" s="515">
        <f t="shared" si="567"/>
        <v>156250000</v>
      </c>
      <c r="Z746" s="515">
        <f t="shared" si="567"/>
        <v>156250000</v>
      </c>
      <c r="AA746" s="515">
        <f t="shared" si="567"/>
        <v>2656250000</v>
      </c>
      <c r="AB746" s="515">
        <f t="shared" si="567"/>
        <v>2656250000</v>
      </c>
      <c r="AC746" s="515">
        <f t="shared" si="567"/>
        <v>2656250000</v>
      </c>
      <c r="AD746" s="515">
        <f t="shared" si="567"/>
        <v>2656250000</v>
      </c>
      <c r="AE746" s="515">
        <f t="shared" si="567"/>
        <v>2656250000</v>
      </c>
      <c r="AF746" s="515">
        <f t="shared" si="567"/>
        <v>2656250000</v>
      </c>
      <c r="AG746" s="86"/>
    </row>
    <row r="747" spans="1:33" s="221" customFormat="1" x14ac:dyDescent="0.2">
      <c r="A747" s="4" t="s">
        <v>98</v>
      </c>
      <c r="B747" s="237"/>
      <c r="C747" s="515">
        <f>IF(C$729&lt;C745,C742,C743)</f>
        <v>625000000</v>
      </c>
      <c r="D747" s="515">
        <f t="shared" ref="D747:AF747" si="568">IF(D$729&lt;D745,D742,D743)</f>
        <v>-3125000000</v>
      </c>
      <c r="E747" s="515">
        <f t="shared" si="568"/>
        <v>625000000</v>
      </c>
      <c r="F747" s="515">
        <f t="shared" si="568"/>
        <v>625000000</v>
      </c>
      <c r="G747" s="515">
        <f t="shared" si="568"/>
        <v>-312500000</v>
      </c>
      <c r="H747" s="515">
        <f t="shared" si="568"/>
        <v>625000000</v>
      </c>
      <c r="I747" s="515">
        <f t="shared" si="568"/>
        <v>625000000</v>
      </c>
      <c r="J747" s="515">
        <f t="shared" si="568"/>
        <v>625000000</v>
      </c>
      <c r="K747" s="515">
        <f t="shared" si="568"/>
        <v>625000000</v>
      </c>
      <c r="L747" s="515">
        <f t="shared" si="568"/>
        <v>625000000</v>
      </c>
      <c r="M747" s="515">
        <f t="shared" si="568"/>
        <v>625000000</v>
      </c>
      <c r="N747" s="515">
        <f t="shared" si="568"/>
        <v>625000000</v>
      </c>
      <c r="O747" s="515">
        <f t="shared" si="568"/>
        <v>625000000</v>
      </c>
      <c r="P747" s="515">
        <f t="shared" si="568"/>
        <v>625000000</v>
      </c>
      <c r="Q747" s="515">
        <f t="shared" si="568"/>
        <v>625000000</v>
      </c>
      <c r="R747" s="515">
        <f t="shared" si="568"/>
        <v>625000000</v>
      </c>
      <c r="S747" s="515">
        <f t="shared" si="568"/>
        <v>625000000</v>
      </c>
      <c r="T747" s="515">
        <f t="shared" si="568"/>
        <v>625000000</v>
      </c>
      <c r="U747" s="515">
        <f t="shared" si="568"/>
        <v>625000000</v>
      </c>
      <c r="V747" s="515">
        <f t="shared" si="568"/>
        <v>625000000</v>
      </c>
      <c r="W747" s="515">
        <f t="shared" si="568"/>
        <v>625000000</v>
      </c>
      <c r="X747" s="515">
        <f t="shared" si="568"/>
        <v>625000000</v>
      </c>
      <c r="Y747" s="515">
        <f t="shared" si="568"/>
        <v>625000000</v>
      </c>
      <c r="Z747" s="515">
        <f t="shared" si="568"/>
        <v>625000000</v>
      </c>
      <c r="AA747" s="515">
        <f t="shared" si="568"/>
        <v>2812500000</v>
      </c>
      <c r="AB747" s="515">
        <f t="shared" si="568"/>
        <v>2812500000</v>
      </c>
      <c r="AC747" s="515">
        <f t="shared" si="568"/>
        <v>2812500000</v>
      </c>
      <c r="AD747" s="515">
        <f t="shared" si="568"/>
        <v>2812500000</v>
      </c>
      <c r="AE747" s="515">
        <f t="shared" si="568"/>
        <v>2812500000</v>
      </c>
      <c r="AF747" s="515">
        <f t="shared" si="568"/>
        <v>2812500000</v>
      </c>
      <c r="AG747" s="86"/>
    </row>
    <row r="748" spans="1:33" s="221" customFormat="1" x14ac:dyDescent="0.2">
      <c r="A748" s="4" t="s">
        <v>99</v>
      </c>
      <c r="B748" s="237"/>
      <c r="C748" s="515">
        <f>IF(C$729&gt;C745,C742,C744)</f>
        <v>-312500000</v>
      </c>
      <c r="D748" s="515">
        <f t="shared" ref="D748:AF748" si="569">IF(D$729&gt;D745,D742,D744)</f>
        <v>-4062500000</v>
      </c>
      <c r="E748" s="515">
        <f t="shared" si="569"/>
        <v>-312500000</v>
      </c>
      <c r="F748" s="515">
        <f t="shared" si="569"/>
        <v>-312500000</v>
      </c>
      <c r="G748" s="515">
        <f t="shared" si="569"/>
        <v>-1250000000</v>
      </c>
      <c r="H748" s="515">
        <f t="shared" si="569"/>
        <v>-312500000</v>
      </c>
      <c r="I748" s="515">
        <f t="shared" si="569"/>
        <v>-312500000</v>
      </c>
      <c r="J748" s="515">
        <f t="shared" si="569"/>
        <v>-312500000</v>
      </c>
      <c r="K748" s="515">
        <f t="shared" si="569"/>
        <v>-312500000</v>
      </c>
      <c r="L748" s="515">
        <f t="shared" si="569"/>
        <v>-312500000</v>
      </c>
      <c r="M748" s="515">
        <f t="shared" si="569"/>
        <v>-312500000</v>
      </c>
      <c r="N748" s="515">
        <f t="shared" si="569"/>
        <v>-312500000</v>
      </c>
      <c r="O748" s="515">
        <f t="shared" si="569"/>
        <v>-312500000</v>
      </c>
      <c r="P748" s="515">
        <f t="shared" si="569"/>
        <v>-312500000</v>
      </c>
      <c r="Q748" s="515">
        <f t="shared" si="569"/>
        <v>-312500000</v>
      </c>
      <c r="R748" s="515">
        <f t="shared" si="569"/>
        <v>-312500000</v>
      </c>
      <c r="S748" s="515">
        <f t="shared" si="569"/>
        <v>-312500000</v>
      </c>
      <c r="T748" s="515">
        <f t="shared" si="569"/>
        <v>-312500000</v>
      </c>
      <c r="U748" s="515">
        <f t="shared" si="569"/>
        <v>-312500000</v>
      </c>
      <c r="V748" s="515">
        <f t="shared" si="569"/>
        <v>-312500000</v>
      </c>
      <c r="W748" s="515">
        <f t="shared" si="569"/>
        <v>-312500000</v>
      </c>
      <c r="X748" s="515">
        <f t="shared" si="569"/>
        <v>-312500000</v>
      </c>
      <c r="Y748" s="515">
        <f t="shared" si="569"/>
        <v>-312500000</v>
      </c>
      <c r="Z748" s="515">
        <f t="shared" si="569"/>
        <v>-312500000</v>
      </c>
      <c r="AA748" s="515">
        <f t="shared" si="569"/>
        <v>2500000000</v>
      </c>
      <c r="AB748" s="515">
        <f t="shared" si="569"/>
        <v>2500000000</v>
      </c>
      <c r="AC748" s="515">
        <f t="shared" si="569"/>
        <v>2500000000</v>
      </c>
      <c r="AD748" s="515">
        <f t="shared" si="569"/>
        <v>2500000000</v>
      </c>
      <c r="AE748" s="515">
        <f t="shared" si="569"/>
        <v>2500000000</v>
      </c>
      <c r="AF748" s="515">
        <f t="shared" si="569"/>
        <v>2500000000</v>
      </c>
      <c r="AG748" s="86"/>
    </row>
    <row r="749" spans="1:33" s="220" customFormat="1" x14ac:dyDescent="0.2">
      <c r="A749" s="4" t="s">
        <v>100</v>
      </c>
      <c r="B749" s="236"/>
      <c r="C749" s="30">
        <f t="shared" ref="C749:AF749" si="570">(1/C245)*((EXP(C$241*C746)-1)/(EXP(C$242*C746)-1))</f>
        <v>4.9176403000798494E-2</v>
      </c>
      <c r="D749" s="30">
        <f t="shared" si="570"/>
        <v>1.6478562302917502E-2</v>
      </c>
      <c r="E749" s="30">
        <f t="shared" si="570"/>
        <v>4.9176403000798494E-2</v>
      </c>
      <c r="F749" s="30">
        <f t="shared" si="570"/>
        <v>4.9176403000798494E-2</v>
      </c>
      <c r="G749" s="30">
        <f t="shared" si="570"/>
        <v>3.4105287770724177E-2</v>
      </c>
      <c r="H749" s="30">
        <f t="shared" si="570"/>
        <v>4.9176403000798494E-2</v>
      </c>
      <c r="I749" s="30">
        <f t="shared" si="570"/>
        <v>4.9176403000798494E-2</v>
      </c>
      <c r="J749" s="30">
        <f t="shared" si="570"/>
        <v>4.9176403000798494E-2</v>
      </c>
      <c r="K749" s="30">
        <f t="shared" si="570"/>
        <v>4.9176403000798494E-2</v>
      </c>
      <c r="L749" s="30">
        <f t="shared" si="570"/>
        <v>4.9176403000798494E-2</v>
      </c>
      <c r="M749" s="30">
        <f t="shared" si="570"/>
        <v>4.9176403000798494E-2</v>
      </c>
      <c r="N749" s="30">
        <f t="shared" si="570"/>
        <v>4.9176403000798494E-2</v>
      </c>
      <c r="O749" s="30">
        <f t="shared" si="570"/>
        <v>4.9176403000798494E-2</v>
      </c>
      <c r="P749" s="30">
        <f t="shared" si="570"/>
        <v>4.9176403000798494E-2</v>
      </c>
      <c r="Q749" s="30">
        <f t="shared" si="570"/>
        <v>4.9176403000798494E-2</v>
      </c>
      <c r="R749" s="30">
        <f t="shared" si="570"/>
        <v>4.9176403000798494E-2</v>
      </c>
      <c r="S749" s="30">
        <f t="shared" si="570"/>
        <v>4.9176403000798494E-2</v>
      </c>
      <c r="T749" s="30">
        <f t="shared" si="570"/>
        <v>4.9176403000798494E-2</v>
      </c>
      <c r="U749" s="30">
        <f t="shared" si="570"/>
        <v>4.9176403000798494E-2</v>
      </c>
      <c r="V749" s="30">
        <f t="shared" si="570"/>
        <v>4.9176403000798494E-2</v>
      </c>
      <c r="W749" s="30">
        <f t="shared" si="570"/>
        <v>4.9176403000798494E-2</v>
      </c>
      <c r="X749" s="30">
        <f t="shared" si="570"/>
        <v>4.9176403000798494E-2</v>
      </c>
      <c r="Y749" s="30">
        <f t="shared" si="570"/>
        <v>4.9176403000798494E-2</v>
      </c>
      <c r="Z749" s="30">
        <f t="shared" si="570"/>
        <v>4.9176403000798494E-2</v>
      </c>
      <c r="AA749" s="30">
        <f t="shared" si="570"/>
        <v>0.18036724079652328</v>
      </c>
      <c r="AB749" s="30">
        <f t="shared" si="570"/>
        <v>0.18036724079652328</v>
      </c>
      <c r="AC749" s="30">
        <f t="shared" si="570"/>
        <v>0.18036724079652328</v>
      </c>
      <c r="AD749" s="30">
        <f t="shared" si="570"/>
        <v>0.18036724079652328</v>
      </c>
      <c r="AE749" s="30">
        <f t="shared" si="570"/>
        <v>0.18036724079652328</v>
      </c>
      <c r="AF749" s="30">
        <f t="shared" si="570"/>
        <v>0.18036724079652328</v>
      </c>
      <c r="AG749" s="26"/>
    </row>
    <row r="750" spans="1:33" s="221" customFormat="1" x14ac:dyDescent="0.2">
      <c r="A750" s="4" t="s">
        <v>97</v>
      </c>
      <c r="B750" s="237"/>
      <c r="C750" s="515">
        <f>IF(C$729&gt;C749,C746+((C747-C746)/2),C746-((C746-C748)/2))</f>
        <v>-78125000</v>
      </c>
      <c r="D750" s="515">
        <f t="shared" ref="D750:AF750" si="571">IF(D$729&gt;D749,D746+((D747-D746)/2),D746-((D746-D748)/2))</f>
        <v>-3359375000</v>
      </c>
      <c r="E750" s="515">
        <f t="shared" si="571"/>
        <v>-78125000</v>
      </c>
      <c r="F750" s="515">
        <f t="shared" si="571"/>
        <v>-78125000</v>
      </c>
      <c r="G750" s="515">
        <f t="shared" si="571"/>
        <v>-1015625000</v>
      </c>
      <c r="H750" s="515">
        <f t="shared" si="571"/>
        <v>-78125000</v>
      </c>
      <c r="I750" s="515">
        <f t="shared" si="571"/>
        <v>-78125000</v>
      </c>
      <c r="J750" s="515">
        <f t="shared" si="571"/>
        <v>390625000</v>
      </c>
      <c r="K750" s="515">
        <f t="shared" si="571"/>
        <v>-78125000</v>
      </c>
      <c r="L750" s="515">
        <f t="shared" si="571"/>
        <v>-78125000</v>
      </c>
      <c r="M750" s="515">
        <f t="shared" si="571"/>
        <v>-78125000</v>
      </c>
      <c r="N750" s="515">
        <f t="shared" si="571"/>
        <v>-78125000</v>
      </c>
      <c r="O750" s="515">
        <f t="shared" si="571"/>
        <v>-78125000</v>
      </c>
      <c r="P750" s="515">
        <f t="shared" si="571"/>
        <v>-78125000</v>
      </c>
      <c r="Q750" s="515">
        <f t="shared" si="571"/>
        <v>-78125000</v>
      </c>
      <c r="R750" s="515">
        <f t="shared" si="571"/>
        <v>-78125000</v>
      </c>
      <c r="S750" s="515">
        <f t="shared" si="571"/>
        <v>-78125000</v>
      </c>
      <c r="T750" s="515">
        <f t="shared" si="571"/>
        <v>-78125000</v>
      </c>
      <c r="U750" s="515">
        <f t="shared" si="571"/>
        <v>-78125000</v>
      </c>
      <c r="V750" s="515">
        <f t="shared" si="571"/>
        <v>-78125000</v>
      </c>
      <c r="W750" s="515">
        <f t="shared" si="571"/>
        <v>-78125000</v>
      </c>
      <c r="X750" s="515">
        <f t="shared" si="571"/>
        <v>-78125000</v>
      </c>
      <c r="Y750" s="515">
        <f t="shared" si="571"/>
        <v>-78125000</v>
      </c>
      <c r="Z750" s="515">
        <f t="shared" si="571"/>
        <v>-78125000</v>
      </c>
      <c r="AA750" s="515">
        <f t="shared" si="571"/>
        <v>2578125000</v>
      </c>
      <c r="AB750" s="515">
        <f t="shared" si="571"/>
        <v>2578125000</v>
      </c>
      <c r="AC750" s="515">
        <f t="shared" si="571"/>
        <v>2578125000</v>
      </c>
      <c r="AD750" s="515">
        <f t="shared" si="571"/>
        <v>2578125000</v>
      </c>
      <c r="AE750" s="515">
        <f t="shared" si="571"/>
        <v>2578125000</v>
      </c>
      <c r="AF750" s="515">
        <f t="shared" si="571"/>
        <v>2578125000</v>
      </c>
      <c r="AG750" s="86"/>
    </row>
    <row r="751" spans="1:33" s="221" customFormat="1" x14ac:dyDescent="0.2">
      <c r="A751" s="4" t="s">
        <v>98</v>
      </c>
      <c r="B751" s="237"/>
      <c r="C751" s="515">
        <f>IF(C$729&lt;C749,C746,C747)</f>
        <v>156250000</v>
      </c>
      <c r="D751" s="515">
        <f t="shared" ref="D751:AF751" si="572">IF(D$729&lt;D749,D746,D747)</f>
        <v>-3125000000</v>
      </c>
      <c r="E751" s="515">
        <f t="shared" si="572"/>
        <v>156250000</v>
      </c>
      <c r="F751" s="515">
        <f t="shared" si="572"/>
        <v>156250000</v>
      </c>
      <c r="G751" s="515">
        <f t="shared" si="572"/>
        <v>-781250000</v>
      </c>
      <c r="H751" s="515">
        <f t="shared" si="572"/>
        <v>156250000</v>
      </c>
      <c r="I751" s="515">
        <f t="shared" si="572"/>
        <v>156250000</v>
      </c>
      <c r="J751" s="515">
        <f t="shared" si="572"/>
        <v>625000000</v>
      </c>
      <c r="K751" s="515">
        <f t="shared" si="572"/>
        <v>156250000</v>
      </c>
      <c r="L751" s="515">
        <f t="shared" si="572"/>
        <v>156250000</v>
      </c>
      <c r="M751" s="515">
        <f t="shared" si="572"/>
        <v>156250000</v>
      </c>
      <c r="N751" s="515">
        <f t="shared" si="572"/>
        <v>156250000</v>
      </c>
      <c r="O751" s="515">
        <f t="shared" si="572"/>
        <v>156250000</v>
      </c>
      <c r="P751" s="515">
        <f t="shared" si="572"/>
        <v>156250000</v>
      </c>
      <c r="Q751" s="515">
        <f t="shared" si="572"/>
        <v>156250000</v>
      </c>
      <c r="R751" s="515">
        <f t="shared" si="572"/>
        <v>156250000</v>
      </c>
      <c r="S751" s="515">
        <f t="shared" si="572"/>
        <v>156250000</v>
      </c>
      <c r="T751" s="515">
        <f t="shared" si="572"/>
        <v>156250000</v>
      </c>
      <c r="U751" s="515">
        <f t="shared" si="572"/>
        <v>156250000</v>
      </c>
      <c r="V751" s="515">
        <f t="shared" si="572"/>
        <v>156250000</v>
      </c>
      <c r="W751" s="515">
        <f t="shared" si="572"/>
        <v>156250000</v>
      </c>
      <c r="X751" s="515">
        <f t="shared" si="572"/>
        <v>156250000</v>
      </c>
      <c r="Y751" s="515">
        <f t="shared" si="572"/>
        <v>156250000</v>
      </c>
      <c r="Z751" s="515">
        <f t="shared" si="572"/>
        <v>156250000</v>
      </c>
      <c r="AA751" s="515">
        <f t="shared" si="572"/>
        <v>2656250000</v>
      </c>
      <c r="AB751" s="515">
        <f t="shared" si="572"/>
        <v>2656250000</v>
      </c>
      <c r="AC751" s="515">
        <f t="shared" si="572"/>
        <v>2656250000</v>
      </c>
      <c r="AD751" s="515">
        <f t="shared" si="572"/>
        <v>2656250000</v>
      </c>
      <c r="AE751" s="515">
        <f t="shared" si="572"/>
        <v>2656250000</v>
      </c>
      <c r="AF751" s="515">
        <f t="shared" si="572"/>
        <v>2656250000</v>
      </c>
      <c r="AG751" s="86"/>
    </row>
    <row r="752" spans="1:33" s="221" customFormat="1" x14ac:dyDescent="0.2">
      <c r="A752" s="4" t="s">
        <v>99</v>
      </c>
      <c r="B752" s="237"/>
      <c r="C752" s="515">
        <f>IF(C$729&gt;C749,C746,C748)</f>
        <v>-312500000</v>
      </c>
      <c r="D752" s="515">
        <f t="shared" ref="D752:AF752" si="573">IF(D$729&gt;D749,D746,D748)</f>
        <v>-3593750000</v>
      </c>
      <c r="E752" s="515">
        <f t="shared" si="573"/>
        <v>-312500000</v>
      </c>
      <c r="F752" s="515">
        <f t="shared" si="573"/>
        <v>-312500000</v>
      </c>
      <c r="G752" s="515">
        <f t="shared" si="573"/>
        <v>-1250000000</v>
      </c>
      <c r="H752" s="515">
        <f t="shared" si="573"/>
        <v>-312500000</v>
      </c>
      <c r="I752" s="515">
        <f t="shared" si="573"/>
        <v>-312500000</v>
      </c>
      <c r="J752" s="515">
        <f t="shared" si="573"/>
        <v>156250000</v>
      </c>
      <c r="K752" s="515">
        <f t="shared" si="573"/>
        <v>-312500000</v>
      </c>
      <c r="L752" s="515">
        <f t="shared" si="573"/>
        <v>-312500000</v>
      </c>
      <c r="M752" s="515">
        <f t="shared" si="573"/>
        <v>-312500000</v>
      </c>
      <c r="N752" s="515">
        <f t="shared" si="573"/>
        <v>-312500000</v>
      </c>
      <c r="O752" s="515">
        <f t="shared" si="573"/>
        <v>-312500000</v>
      </c>
      <c r="P752" s="515">
        <f t="shared" si="573"/>
        <v>-312500000</v>
      </c>
      <c r="Q752" s="515">
        <f t="shared" si="573"/>
        <v>-312500000</v>
      </c>
      <c r="R752" s="515">
        <f t="shared" si="573"/>
        <v>-312500000</v>
      </c>
      <c r="S752" s="515">
        <f t="shared" si="573"/>
        <v>-312500000</v>
      </c>
      <c r="T752" s="515">
        <f t="shared" si="573"/>
        <v>-312500000</v>
      </c>
      <c r="U752" s="515">
        <f t="shared" si="573"/>
        <v>-312500000</v>
      </c>
      <c r="V752" s="515">
        <f t="shared" si="573"/>
        <v>-312500000</v>
      </c>
      <c r="W752" s="515">
        <f t="shared" si="573"/>
        <v>-312500000</v>
      </c>
      <c r="X752" s="515">
        <f t="shared" si="573"/>
        <v>-312500000</v>
      </c>
      <c r="Y752" s="515">
        <f t="shared" si="573"/>
        <v>-312500000</v>
      </c>
      <c r="Z752" s="515">
        <f t="shared" si="573"/>
        <v>-312500000</v>
      </c>
      <c r="AA752" s="515">
        <f t="shared" si="573"/>
        <v>2500000000</v>
      </c>
      <c r="AB752" s="515">
        <f t="shared" si="573"/>
        <v>2500000000</v>
      </c>
      <c r="AC752" s="515">
        <f t="shared" si="573"/>
        <v>2500000000</v>
      </c>
      <c r="AD752" s="515">
        <f t="shared" si="573"/>
        <v>2500000000</v>
      </c>
      <c r="AE752" s="515">
        <f t="shared" si="573"/>
        <v>2500000000</v>
      </c>
      <c r="AF752" s="515">
        <f t="shared" si="573"/>
        <v>2500000000</v>
      </c>
      <c r="AG752" s="86"/>
    </row>
    <row r="753" spans="1:33" s="220" customFormat="1" x14ac:dyDescent="0.2">
      <c r="A753" s="4" t="s">
        <v>100</v>
      </c>
      <c r="B753" s="236"/>
      <c r="C753" s="30">
        <f t="shared" ref="C753:AF753" si="574">(1/C245)*((EXP(C$241*C750)-1)/(EXP(C$242*C750)-1))</f>
        <v>4.458774476659827E-2</v>
      </c>
      <c r="D753" s="30">
        <f t="shared" si="574"/>
        <v>1.720422599494377E-2</v>
      </c>
      <c r="E753" s="30">
        <f t="shared" si="574"/>
        <v>4.458774476659827E-2</v>
      </c>
      <c r="F753" s="30">
        <f t="shared" si="574"/>
        <v>4.458774476659827E-2</v>
      </c>
      <c r="G753" s="30">
        <f t="shared" si="574"/>
        <v>3.1456174206823569E-2</v>
      </c>
      <c r="H753" s="30">
        <f t="shared" si="574"/>
        <v>4.458774476659827E-2</v>
      </c>
      <c r="I753" s="30">
        <f t="shared" si="574"/>
        <v>4.458774476659827E-2</v>
      </c>
      <c r="J753" s="30">
        <f t="shared" si="574"/>
        <v>5.4472248639315511E-2</v>
      </c>
      <c r="K753" s="30">
        <f t="shared" si="574"/>
        <v>4.458774476659827E-2</v>
      </c>
      <c r="L753" s="30">
        <f t="shared" si="574"/>
        <v>4.458774476659827E-2</v>
      </c>
      <c r="M753" s="30">
        <f t="shared" si="574"/>
        <v>4.458774476659827E-2</v>
      </c>
      <c r="N753" s="30">
        <f t="shared" si="574"/>
        <v>4.458774476659827E-2</v>
      </c>
      <c r="O753" s="30">
        <f t="shared" si="574"/>
        <v>4.458774476659827E-2</v>
      </c>
      <c r="P753" s="30">
        <f t="shared" si="574"/>
        <v>4.458774476659827E-2</v>
      </c>
      <c r="Q753" s="30">
        <f t="shared" si="574"/>
        <v>4.458774476659827E-2</v>
      </c>
      <c r="R753" s="30">
        <f t="shared" si="574"/>
        <v>4.458774476659827E-2</v>
      </c>
      <c r="S753" s="30">
        <f t="shared" si="574"/>
        <v>4.458774476659827E-2</v>
      </c>
      <c r="T753" s="30">
        <f t="shared" si="574"/>
        <v>4.458774476659827E-2</v>
      </c>
      <c r="U753" s="30">
        <f t="shared" si="574"/>
        <v>4.458774476659827E-2</v>
      </c>
      <c r="V753" s="30">
        <f t="shared" si="574"/>
        <v>4.458774476659827E-2</v>
      </c>
      <c r="W753" s="30">
        <f t="shared" si="574"/>
        <v>4.458774476659827E-2</v>
      </c>
      <c r="X753" s="30">
        <f t="shared" si="574"/>
        <v>4.458774476659827E-2</v>
      </c>
      <c r="Y753" s="30">
        <f t="shared" si="574"/>
        <v>4.458774476659827E-2</v>
      </c>
      <c r="Z753" s="30">
        <f t="shared" si="574"/>
        <v>4.458774476659827E-2</v>
      </c>
      <c r="AA753" s="30">
        <f t="shared" si="574"/>
        <v>0.17209524494897671</v>
      </c>
      <c r="AB753" s="30">
        <f t="shared" si="574"/>
        <v>0.17209524494897671</v>
      </c>
      <c r="AC753" s="30">
        <f t="shared" si="574"/>
        <v>0.17209524494897671</v>
      </c>
      <c r="AD753" s="30">
        <f t="shared" si="574"/>
        <v>0.17209524494897671</v>
      </c>
      <c r="AE753" s="30">
        <f t="shared" si="574"/>
        <v>0.17209524494897671</v>
      </c>
      <c r="AF753" s="30">
        <f t="shared" si="574"/>
        <v>0.17209524494897671</v>
      </c>
      <c r="AG753" s="26"/>
    </row>
    <row r="754" spans="1:33" s="221" customFormat="1" x14ac:dyDescent="0.2">
      <c r="A754" s="4" t="s">
        <v>97</v>
      </c>
      <c r="B754" s="237"/>
      <c r="C754" s="515">
        <f>IF(C$729&gt;C753,C750+((C751-C750)/2),C750-((C750-C752)/2))</f>
        <v>39062500</v>
      </c>
      <c r="D754" s="515">
        <f t="shared" ref="D754:AF754" si="575">IF(D$729&gt;D753,D750+((D751-D750)/2),D750-((D750-D752)/2))</f>
        <v>-3242187500</v>
      </c>
      <c r="E754" s="515">
        <f t="shared" si="575"/>
        <v>-195312500</v>
      </c>
      <c r="F754" s="515">
        <f t="shared" si="575"/>
        <v>39062500</v>
      </c>
      <c r="G754" s="515">
        <f t="shared" si="575"/>
        <v>-1132812500</v>
      </c>
      <c r="H754" s="515">
        <f t="shared" si="575"/>
        <v>39062500</v>
      </c>
      <c r="I754" s="515">
        <f t="shared" si="575"/>
        <v>39062500</v>
      </c>
      <c r="J754" s="515">
        <f t="shared" si="575"/>
        <v>507812500</v>
      </c>
      <c r="K754" s="515">
        <f t="shared" si="575"/>
        <v>39062500</v>
      </c>
      <c r="L754" s="515">
        <f t="shared" si="575"/>
        <v>39062500</v>
      </c>
      <c r="M754" s="515">
        <f t="shared" si="575"/>
        <v>39062500</v>
      </c>
      <c r="N754" s="515">
        <f t="shared" si="575"/>
        <v>39062500</v>
      </c>
      <c r="O754" s="515">
        <f t="shared" si="575"/>
        <v>39062500</v>
      </c>
      <c r="P754" s="515">
        <f t="shared" si="575"/>
        <v>39062500</v>
      </c>
      <c r="Q754" s="515">
        <f t="shared" si="575"/>
        <v>39062500</v>
      </c>
      <c r="R754" s="515">
        <f t="shared" si="575"/>
        <v>39062500</v>
      </c>
      <c r="S754" s="515">
        <f t="shared" si="575"/>
        <v>39062500</v>
      </c>
      <c r="T754" s="515">
        <f t="shared" si="575"/>
        <v>39062500</v>
      </c>
      <c r="U754" s="515">
        <f t="shared" si="575"/>
        <v>39062500</v>
      </c>
      <c r="V754" s="515">
        <f t="shared" si="575"/>
        <v>-195312500</v>
      </c>
      <c r="W754" s="515">
        <f t="shared" si="575"/>
        <v>-195312500</v>
      </c>
      <c r="X754" s="515">
        <f t="shared" si="575"/>
        <v>39062500</v>
      </c>
      <c r="Y754" s="515">
        <f t="shared" si="575"/>
        <v>39062500</v>
      </c>
      <c r="Z754" s="515">
        <f t="shared" si="575"/>
        <v>39062500</v>
      </c>
      <c r="AA754" s="515">
        <f t="shared" si="575"/>
        <v>2617187500</v>
      </c>
      <c r="AB754" s="515">
        <f t="shared" si="575"/>
        <v>2617187500</v>
      </c>
      <c r="AC754" s="515">
        <f t="shared" si="575"/>
        <v>2617187500</v>
      </c>
      <c r="AD754" s="515">
        <f t="shared" si="575"/>
        <v>2617187500</v>
      </c>
      <c r="AE754" s="515">
        <f t="shared" si="575"/>
        <v>2617187500</v>
      </c>
      <c r="AF754" s="515">
        <f t="shared" si="575"/>
        <v>2617187500</v>
      </c>
      <c r="AG754" s="86"/>
    </row>
    <row r="755" spans="1:33" s="221" customFormat="1" x14ac:dyDescent="0.2">
      <c r="A755" s="4" t="s">
        <v>98</v>
      </c>
      <c r="B755" s="237"/>
      <c r="C755" s="515">
        <f>IF(C$729&lt;C753,C750,C751)</f>
        <v>156250000</v>
      </c>
      <c r="D755" s="515">
        <f t="shared" ref="D755:AF755" si="576">IF(D$729&lt;D753,D750,D751)</f>
        <v>-3125000000</v>
      </c>
      <c r="E755" s="515">
        <f t="shared" si="576"/>
        <v>-78125000</v>
      </c>
      <c r="F755" s="515">
        <f t="shared" si="576"/>
        <v>156250000</v>
      </c>
      <c r="G755" s="515">
        <f t="shared" si="576"/>
        <v>-1015625000</v>
      </c>
      <c r="H755" s="515">
        <f t="shared" si="576"/>
        <v>156250000</v>
      </c>
      <c r="I755" s="515">
        <f t="shared" si="576"/>
        <v>156250000</v>
      </c>
      <c r="J755" s="515">
        <f t="shared" si="576"/>
        <v>625000000</v>
      </c>
      <c r="K755" s="515">
        <f t="shared" si="576"/>
        <v>156250000</v>
      </c>
      <c r="L755" s="515">
        <f t="shared" si="576"/>
        <v>156250000</v>
      </c>
      <c r="M755" s="515">
        <f t="shared" si="576"/>
        <v>156250000</v>
      </c>
      <c r="N755" s="515">
        <f t="shared" si="576"/>
        <v>156250000</v>
      </c>
      <c r="O755" s="515">
        <f t="shared" si="576"/>
        <v>156250000</v>
      </c>
      <c r="P755" s="515">
        <f t="shared" si="576"/>
        <v>156250000</v>
      </c>
      <c r="Q755" s="515">
        <f t="shared" si="576"/>
        <v>156250000</v>
      </c>
      <c r="R755" s="515">
        <f t="shared" si="576"/>
        <v>156250000</v>
      </c>
      <c r="S755" s="515">
        <f t="shared" si="576"/>
        <v>156250000</v>
      </c>
      <c r="T755" s="515">
        <f t="shared" si="576"/>
        <v>156250000</v>
      </c>
      <c r="U755" s="515">
        <f t="shared" si="576"/>
        <v>156250000</v>
      </c>
      <c r="V755" s="515">
        <f t="shared" si="576"/>
        <v>-78125000</v>
      </c>
      <c r="W755" s="515">
        <f t="shared" si="576"/>
        <v>-78125000</v>
      </c>
      <c r="X755" s="515">
        <f t="shared" si="576"/>
        <v>156250000</v>
      </c>
      <c r="Y755" s="515">
        <f t="shared" si="576"/>
        <v>156250000</v>
      </c>
      <c r="Z755" s="515">
        <f t="shared" si="576"/>
        <v>156250000</v>
      </c>
      <c r="AA755" s="515">
        <f t="shared" si="576"/>
        <v>2656250000</v>
      </c>
      <c r="AB755" s="515">
        <f t="shared" si="576"/>
        <v>2656250000</v>
      </c>
      <c r="AC755" s="515">
        <f t="shared" si="576"/>
        <v>2656250000</v>
      </c>
      <c r="AD755" s="515">
        <f t="shared" si="576"/>
        <v>2656250000</v>
      </c>
      <c r="AE755" s="515">
        <f t="shared" si="576"/>
        <v>2656250000</v>
      </c>
      <c r="AF755" s="515">
        <f t="shared" si="576"/>
        <v>2656250000</v>
      </c>
      <c r="AG755" s="86"/>
    </row>
    <row r="756" spans="1:33" s="221" customFormat="1" x14ac:dyDescent="0.2">
      <c r="A756" s="4" t="s">
        <v>99</v>
      </c>
      <c r="B756" s="237"/>
      <c r="C756" s="515">
        <f>IF(C$729&gt;C753,C750,C752)</f>
        <v>-78125000</v>
      </c>
      <c r="D756" s="515">
        <f t="shared" ref="D756:AF756" si="577">IF(D$729&gt;D753,D750,D752)</f>
        <v>-3359375000</v>
      </c>
      <c r="E756" s="515">
        <f t="shared" si="577"/>
        <v>-312500000</v>
      </c>
      <c r="F756" s="515">
        <f t="shared" si="577"/>
        <v>-78125000</v>
      </c>
      <c r="G756" s="515">
        <f t="shared" si="577"/>
        <v>-1250000000</v>
      </c>
      <c r="H756" s="515">
        <f t="shared" si="577"/>
        <v>-78125000</v>
      </c>
      <c r="I756" s="515">
        <f t="shared" si="577"/>
        <v>-78125000</v>
      </c>
      <c r="J756" s="515">
        <f t="shared" si="577"/>
        <v>390625000</v>
      </c>
      <c r="K756" s="515">
        <f t="shared" si="577"/>
        <v>-78125000</v>
      </c>
      <c r="L756" s="515">
        <f t="shared" si="577"/>
        <v>-78125000</v>
      </c>
      <c r="M756" s="515">
        <f t="shared" si="577"/>
        <v>-78125000</v>
      </c>
      <c r="N756" s="515">
        <f t="shared" si="577"/>
        <v>-78125000</v>
      </c>
      <c r="O756" s="515">
        <f t="shared" si="577"/>
        <v>-78125000</v>
      </c>
      <c r="P756" s="515">
        <f t="shared" si="577"/>
        <v>-78125000</v>
      </c>
      <c r="Q756" s="515">
        <f t="shared" si="577"/>
        <v>-78125000</v>
      </c>
      <c r="R756" s="515">
        <f t="shared" si="577"/>
        <v>-78125000</v>
      </c>
      <c r="S756" s="515">
        <f t="shared" si="577"/>
        <v>-78125000</v>
      </c>
      <c r="T756" s="515">
        <f t="shared" si="577"/>
        <v>-78125000</v>
      </c>
      <c r="U756" s="515">
        <f t="shared" si="577"/>
        <v>-78125000</v>
      </c>
      <c r="V756" s="515">
        <f t="shared" si="577"/>
        <v>-312500000</v>
      </c>
      <c r="W756" s="515">
        <f t="shared" si="577"/>
        <v>-312500000</v>
      </c>
      <c r="X756" s="515">
        <f t="shared" si="577"/>
        <v>-78125000</v>
      </c>
      <c r="Y756" s="515">
        <f t="shared" si="577"/>
        <v>-78125000</v>
      </c>
      <c r="Z756" s="515">
        <f t="shared" si="577"/>
        <v>-78125000</v>
      </c>
      <c r="AA756" s="515">
        <f t="shared" si="577"/>
        <v>2578125000</v>
      </c>
      <c r="AB756" s="515">
        <f t="shared" si="577"/>
        <v>2578125000</v>
      </c>
      <c r="AC756" s="515">
        <f t="shared" si="577"/>
        <v>2578125000</v>
      </c>
      <c r="AD756" s="515">
        <f t="shared" si="577"/>
        <v>2578125000</v>
      </c>
      <c r="AE756" s="515">
        <f t="shared" si="577"/>
        <v>2578125000</v>
      </c>
      <c r="AF756" s="515">
        <f t="shared" si="577"/>
        <v>2578125000</v>
      </c>
      <c r="AG756" s="86"/>
    </row>
    <row r="757" spans="1:33" s="220" customFormat="1" x14ac:dyDescent="0.2">
      <c r="A757" s="4" t="s">
        <v>100</v>
      </c>
      <c r="B757" s="236"/>
      <c r="C757" s="30">
        <f t="shared" ref="C757:AF757" si="578">(1/C245)*((EXP(C$241*C754)-1)/(EXP(C$242*C754)-1))</f>
        <v>4.6800568079082422E-2</v>
      </c>
      <c r="D757" s="30">
        <f t="shared" si="578"/>
        <v>1.7596323870609568E-2</v>
      </c>
      <c r="E757" s="30">
        <f t="shared" si="578"/>
        <v>4.252553612313955E-2</v>
      </c>
      <c r="F757" s="30">
        <f t="shared" si="578"/>
        <v>4.6800568079082422E-2</v>
      </c>
      <c r="G757" s="30">
        <f t="shared" si="578"/>
        <v>3.0256644850837892E-2</v>
      </c>
      <c r="H757" s="30">
        <f t="shared" si="578"/>
        <v>4.6800568079082422E-2</v>
      </c>
      <c r="I757" s="30">
        <f t="shared" si="578"/>
        <v>4.6800568079082422E-2</v>
      </c>
      <c r="J757" s="30">
        <f t="shared" si="578"/>
        <v>5.7422915724169417E-2</v>
      </c>
      <c r="K757" s="30">
        <f t="shared" si="578"/>
        <v>4.6800568079082422E-2</v>
      </c>
      <c r="L757" s="30">
        <f t="shared" si="578"/>
        <v>4.6800568079082422E-2</v>
      </c>
      <c r="M757" s="30">
        <f t="shared" si="578"/>
        <v>4.6800568079082422E-2</v>
      </c>
      <c r="N757" s="30">
        <f t="shared" si="578"/>
        <v>4.6800568079082422E-2</v>
      </c>
      <c r="O757" s="30">
        <f t="shared" si="578"/>
        <v>4.6800568079082422E-2</v>
      </c>
      <c r="P757" s="30">
        <f t="shared" si="578"/>
        <v>4.6800568079082422E-2</v>
      </c>
      <c r="Q757" s="30">
        <f t="shared" si="578"/>
        <v>4.6800568079082422E-2</v>
      </c>
      <c r="R757" s="30">
        <f t="shared" si="578"/>
        <v>4.6800568079082422E-2</v>
      </c>
      <c r="S757" s="30">
        <f t="shared" si="578"/>
        <v>4.6800568079082422E-2</v>
      </c>
      <c r="T757" s="30">
        <f t="shared" si="578"/>
        <v>4.6800568079082422E-2</v>
      </c>
      <c r="U757" s="30">
        <f t="shared" si="578"/>
        <v>4.6800568079082422E-2</v>
      </c>
      <c r="V757" s="30">
        <f t="shared" si="578"/>
        <v>4.252553612313955E-2</v>
      </c>
      <c r="W757" s="30">
        <f t="shared" si="578"/>
        <v>4.252553612313955E-2</v>
      </c>
      <c r="X757" s="30">
        <f t="shared" si="578"/>
        <v>4.6800568079082422E-2</v>
      </c>
      <c r="Y757" s="30">
        <f t="shared" si="578"/>
        <v>4.6800568079082422E-2</v>
      </c>
      <c r="Z757" s="30">
        <f t="shared" si="578"/>
        <v>4.6800568079082422E-2</v>
      </c>
      <c r="AA757" s="30">
        <f t="shared" si="578"/>
        <v>0.1761749442208585</v>
      </c>
      <c r="AB757" s="30">
        <f t="shared" si="578"/>
        <v>0.1761749442208585</v>
      </c>
      <c r="AC757" s="30">
        <f t="shared" si="578"/>
        <v>0.1761749442208585</v>
      </c>
      <c r="AD757" s="30">
        <f t="shared" si="578"/>
        <v>0.1761749442208585</v>
      </c>
      <c r="AE757" s="30">
        <f t="shared" si="578"/>
        <v>0.1761749442208585</v>
      </c>
      <c r="AF757" s="30">
        <f t="shared" si="578"/>
        <v>0.1761749442208585</v>
      </c>
      <c r="AG757" s="26"/>
    </row>
    <row r="758" spans="1:33" s="221" customFormat="1" x14ac:dyDescent="0.2">
      <c r="A758" s="4" t="s">
        <v>97</v>
      </c>
      <c r="B758" s="237"/>
      <c r="C758" s="515">
        <f>IF(C$729&gt;C757,C754+((C755-C754)/2),C754-((C754-C756)/2))</f>
        <v>97656250</v>
      </c>
      <c r="D758" s="515">
        <f t="shared" ref="D758:AF758" si="579">IF(D$729&gt;D757,D754+((D755-D754)/2),D754-((D754-D756)/2))</f>
        <v>-3183593750</v>
      </c>
      <c r="E758" s="515">
        <f t="shared" si="579"/>
        <v>-136718750</v>
      </c>
      <c r="F758" s="515">
        <f t="shared" si="579"/>
        <v>97656250</v>
      </c>
      <c r="G758" s="515">
        <f t="shared" si="579"/>
        <v>-1074218750</v>
      </c>
      <c r="H758" s="515">
        <f t="shared" si="579"/>
        <v>97656250</v>
      </c>
      <c r="I758" s="515">
        <f t="shared" si="579"/>
        <v>-19531250</v>
      </c>
      <c r="J758" s="515">
        <f t="shared" si="579"/>
        <v>449218750</v>
      </c>
      <c r="K758" s="515">
        <f t="shared" si="579"/>
        <v>97656250</v>
      </c>
      <c r="L758" s="515">
        <f t="shared" si="579"/>
        <v>97656250</v>
      </c>
      <c r="M758" s="515">
        <f t="shared" si="579"/>
        <v>97656250</v>
      </c>
      <c r="N758" s="515">
        <f t="shared" si="579"/>
        <v>97656250</v>
      </c>
      <c r="O758" s="515">
        <f t="shared" si="579"/>
        <v>97656250</v>
      </c>
      <c r="P758" s="515">
        <f t="shared" si="579"/>
        <v>97656250</v>
      </c>
      <c r="Q758" s="515">
        <f t="shared" si="579"/>
        <v>-19531250</v>
      </c>
      <c r="R758" s="515">
        <f t="shared" si="579"/>
        <v>-19531250</v>
      </c>
      <c r="S758" s="515">
        <f t="shared" si="579"/>
        <v>-19531250</v>
      </c>
      <c r="T758" s="515">
        <f t="shared" si="579"/>
        <v>-19531250</v>
      </c>
      <c r="U758" s="515">
        <f t="shared" si="579"/>
        <v>-19531250</v>
      </c>
      <c r="V758" s="515">
        <f t="shared" si="579"/>
        <v>-136718750</v>
      </c>
      <c r="W758" s="515">
        <f t="shared" si="579"/>
        <v>-136718750</v>
      </c>
      <c r="X758" s="515">
        <f t="shared" si="579"/>
        <v>-19531250</v>
      </c>
      <c r="Y758" s="515">
        <f t="shared" si="579"/>
        <v>-19531250</v>
      </c>
      <c r="Z758" s="515">
        <f t="shared" si="579"/>
        <v>-19531250</v>
      </c>
      <c r="AA758" s="515">
        <f t="shared" si="579"/>
        <v>2597656250</v>
      </c>
      <c r="AB758" s="515">
        <f t="shared" si="579"/>
        <v>2597656250</v>
      </c>
      <c r="AC758" s="515">
        <f t="shared" si="579"/>
        <v>2597656250</v>
      </c>
      <c r="AD758" s="515">
        <f t="shared" si="579"/>
        <v>2597656250</v>
      </c>
      <c r="AE758" s="515">
        <f t="shared" si="579"/>
        <v>2597656250</v>
      </c>
      <c r="AF758" s="515">
        <f t="shared" si="579"/>
        <v>2597656250</v>
      </c>
      <c r="AG758" s="86"/>
    </row>
    <row r="759" spans="1:33" s="221" customFormat="1" x14ac:dyDescent="0.2">
      <c r="A759" s="4" t="s">
        <v>98</v>
      </c>
      <c r="B759" s="237"/>
      <c r="C759" s="515">
        <f>IF(C$729&lt;C757,C754,C755)</f>
        <v>156250000</v>
      </c>
      <c r="D759" s="515">
        <f t="shared" ref="D759:AF759" si="580">IF(D$729&lt;D757,D754,D755)</f>
        <v>-3125000000</v>
      </c>
      <c r="E759" s="515">
        <f t="shared" si="580"/>
        <v>-78125000</v>
      </c>
      <c r="F759" s="515">
        <f t="shared" si="580"/>
        <v>156250000</v>
      </c>
      <c r="G759" s="515">
        <f t="shared" si="580"/>
        <v>-1015625000</v>
      </c>
      <c r="H759" s="515">
        <f t="shared" si="580"/>
        <v>156250000</v>
      </c>
      <c r="I759" s="515">
        <f t="shared" si="580"/>
        <v>39062500</v>
      </c>
      <c r="J759" s="515">
        <f t="shared" si="580"/>
        <v>507812500</v>
      </c>
      <c r="K759" s="515">
        <f t="shared" si="580"/>
        <v>156250000</v>
      </c>
      <c r="L759" s="515">
        <f t="shared" si="580"/>
        <v>156250000</v>
      </c>
      <c r="M759" s="515">
        <f t="shared" si="580"/>
        <v>156250000</v>
      </c>
      <c r="N759" s="515">
        <f t="shared" si="580"/>
        <v>156250000</v>
      </c>
      <c r="O759" s="515">
        <f t="shared" si="580"/>
        <v>156250000</v>
      </c>
      <c r="P759" s="515">
        <f t="shared" si="580"/>
        <v>156250000</v>
      </c>
      <c r="Q759" s="515">
        <f t="shared" si="580"/>
        <v>39062500</v>
      </c>
      <c r="R759" s="515">
        <f t="shared" si="580"/>
        <v>39062500</v>
      </c>
      <c r="S759" s="515">
        <f t="shared" si="580"/>
        <v>39062500</v>
      </c>
      <c r="T759" s="515">
        <f t="shared" si="580"/>
        <v>39062500</v>
      </c>
      <c r="U759" s="515">
        <f t="shared" si="580"/>
        <v>39062500</v>
      </c>
      <c r="V759" s="515">
        <f t="shared" si="580"/>
        <v>-78125000</v>
      </c>
      <c r="W759" s="515">
        <f t="shared" si="580"/>
        <v>-78125000</v>
      </c>
      <c r="X759" s="515">
        <f t="shared" si="580"/>
        <v>39062500</v>
      </c>
      <c r="Y759" s="515">
        <f t="shared" si="580"/>
        <v>39062500</v>
      </c>
      <c r="Z759" s="515">
        <f t="shared" si="580"/>
        <v>39062500</v>
      </c>
      <c r="AA759" s="515">
        <f t="shared" si="580"/>
        <v>2617187500</v>
      </c>
      <c r="AB759" s="515">
        <f t="shared" si="580"/>
        <v>2617187500</v>
      </c>
      <c r="AC759" s="515">
        <f t="shared" si="580"/>
        <v>2617187500</v>
      </c>
      <c r="AD759" s="515">
        <f t="shared" si="580"/>
        <v>2617187500</v>
      </c>
      <c r="AE759" s="515">
        <f t="shared" si="580"/>
        <v>2617187500</v>
      </c>
      <c r="AF759" s="515">
        <f t="shared" si="580"/>
        <v>2617187500</v>
      </c>
      <c r="AG759" s="86"/>
    </row>
    <row r="760" spans="1:33" s="221" customFormat="1" x14ac:dyDescent="0.2">
      <c r="A760" s="4" t="s">
        <v>99</v>
      </c>
      <c r="B760" s="237"/>
      <c r="C760" s="515">
        <f>IF(C$729&gt;C757,C754,C756)</f>
        <v>39062500</v>
      </c>
      <c r="D760" s="515">
        <f t="shared" ref="D760:AF760" si="581">IF(D$729&gt;D757,D754,D756)</f>
        <v>-3242187500</v>
      </c>
      <c r="E760" s="515">
        <f t="shared" si="581"/>
        <v>-195312500</v>
      </c>
      <c r="F760" s="515">
        <f t="shared" si="581"/>
        <v>39062500</v>
      </c>
      <c r="G760" s="515">
        <f t="shared" si="581"/>
        <v>-1132812500</v>
      </c>
      <c r="H760" s="515">
        <f t="shared" si="581"/>
        <v>39062500</v>
      </c>
      <c r="I760" s="515">
        <f t="shared" si="581"/>
        <v>-78125000</v>
      </c>
      <c r="J760" s="515">
        <f t="shared" si="581"/>
        <v>390625000</v>
      </c>
      <c r="K760" s="515">
        <f t="shared" si="581"/>
        <v>39062500</v>
      </c>
      <c r="L760" s="515">
        <f t="shared" si="581"/>
        <v>39062500</v>
      </c>
      <c r="M760" s="515">
        <f t="shared" si="581"/>
        <v>39062500</v>
      </c>
      <c r="N760" s="515">
        <f t="shared" si="581"/>
        <v>39062500</v>
      </c>
      <c r="O760" s="515">
        <f t="shared" si="581"/>
        <v>39062500</v>
      </c>
      <c r="P760" s="515">
        <f t="shared" si="581"/>
        <v>39062500</v>
      </c>
      <c r="Q760" s="515">
        <f t="shared" si="581"/>
        <v>-78125000</v>
      </c>
      <c r="R760" s="515">
        <f t="shared" si="581"/>
        <v>-78125000</v>
      </c>
      <c r="S760" s="515">
        <f t="shared" si="581"/>
        <v>-78125000</v>
      </c>
      <c r="T760" s="515">
        <f t="shared" si="581"/>
        <v>-78125000</v>
      </c>
      <c r="U760" s="515">
        <f t="shared" si="581"/>
        <v>-78125000</v>
      </c>
      <c r="V760" s="515">
        <f t="shared" si="581"/>
        <v>-195312500</v>
      </c>
      <c r="W760" s="515">
        <f t="shared" si="581"/>
        <v>-195312500</v>
      </c>
      <c r="X760" s="515">
        <f t="shared" si="581"/>
        <v>-78125000</v>
      </c>
      <c r="Y760" s="515">
        <f t="shared" si="581"/>
        <v>-78125000</v>
      </c>
      <c r="Z760" s="515">
        <f t="shared" si="581"/>
        <v>-78125000</v>
      </c>
      <c r="AA760" s="515">
        <f t="shared" si="581"/>
        <v>2578125000</v>
      </c>
      <c r="AB760" s="515">
        <f t="shared" si="581"/>
        <v>2578125000</v>
      </c>
      <c r="AC760" s="515">
        <f t="shared" si="581"/>
        <v>2578125000</v>
      </c>
      <c r="AD760" s="515">
        <f t="shared" si="581"/>
        <v>2578125000</v>
      </c>
      <c r="AE760" s="515">
        <f t="shared" si="581"/>
        <v>2578125000</v>
      </c>
      <c r="AF760" s="515">
        <f t="shared" si="581"/>
        <v>2578125000</v>
      </c>
      <c r="AG760" s="86"/>
    </row>
    <row r="761" spans="1:33" s="220" customFormat="1" x14ac:dyDescent="0.2">
      <c r="A761" s="4" t="s">
        <v>100</v>
      </c>
      <c r="B761" s="236"/>
      <c r="C761" s="30">
        <f t="shared" ref="C761:AF761" si="582">(1/C245)*((EXP(C$241*C758)-1)/(EXP(C$242*C758)-1))</f>
        <v>4.7967292803993027E-2</v>
      </c>
      <c r="D761" s="30">
        <f t="shared" si="582"/>
        <v>1.7800259079127755E-2</v>
      </c>
      <c r="E761" s="30">
        <f t="shared" si="582"/>
        <v>4.3538548370108753E-2</v>
      </c>
      <c r="F761" s="30">
        <f t="shared" si="582"/>
        <v>4.7967292803993027E-2</v>
      </c>
      <c r="G761" s="30">
        <f t="shared" si="582"/>
        <v>3.0846635280624406E-2</v>
      </c>
      <c r="H761" s="30">
        <f t="shared" si="582"/>
        <v>4.7967292803993027E-2</v>
      </c>
      <c r="I761" s="30">
        <f t="shared" si="582"/>
        <v>4.5674579231826537E-2</v>
      </c>
      <c r="J761" s="30">
        <f t="shared" si="582"/>
        <v>5.5920635121883812E-2</v>
      </c>
      <c r="K761" s="30">
        <f t="shared" si="582"/>
        <v>4.7967292803993027E-2</v>
      </c>
      <c r="L761" s="30">
        <f t="shared" si="582"/>
        <v>4.7967292803993027E-2</v>
      </c>
      <c r="M761" s="30">
        <f t="shared" si="582"/>
        <v>4.7967292803993027E-2</v>
      </c>
      <c r="N761" s="30">
        <f t="shared" si="582"/>
        <v>4.7967292803993027E-2</v>
      </c>
      <c r="O761" s="30">
        <f t="shared" si="582"/>
        <v>4.7967292803993027E-2</v>
      </c>
      <c r="P761" s="30">
        <f t="shared" si="582"/>
        <v>4.7967292803993027E-2</v>
      </c>
      <c r="Q761" s="30">
        <f t="shared" si="582"/>
        <v>4.5674579231826537E-2</v>
      </c>
      <c r="R761" s="30">
        <f t="shared" si="582"/>
        <v>4.5674579231826537E-2</v>
      </c>
      <c r="S761" s="30">
        <f t="shared" si="582"/>
        <v>4.5674579231826537E-2</v>
      </c>
      <c r="T761" s="30">
        <f t="shared" si="582"/>
        <v>4.5674579231826537E-2</v>
      </c>
      <c r="U761" s="30">
        <f t="shared" si="582"/>
        <v>4.5674579231826537E-2</v>
      </c>
      <c r="V761" s="30">
        <f t="shared" si="582"/>
        <v>4.3538548370108753E-2</v>
      </c>
      <c r="W761" s="30">
        <f t="shared" si="582"/>
        <v>4.3538548370108753E-2</v>
      </c>
      <c r="X761" s="30">
        <f t="shared" si="582"/>
        <v>4.5674579231826537E-2</v>
      </c>
      <c r="Y761" s="30">
        <f t="shared" si="582"/>
        <v>4.5674579231826537E-2</v>
      </c>
      <c r="Z761" s="30">
        <f t="shared" si="582"/>
        <v>4.5674579231826537E-2</v>
      </c>
      <c r="AA761" s="30">
        <f t="shared" si="582"/>
        <v>0.17412122161652235</v>
      </c>
      <c r="AB761" s="30">
        <f t="shared" si="582"/>
        <v>0.17412122161652235</v>
      </c>
      <c r="AC761" s="30">
        <f t="shared" si="582"/>
        <v>0.17412122161652235</v>
      </c>
      <c r="AD761" s="30">
        <f t="shared" si="582"/>
        <v>0.17412122161652235</v>
      </c>
      <c r="AE761" s="30">
        <f t="shared" si="582"/>
        <v>0.17412122161652235</v>
      </c>
      <c r="AF761" s="30">
        <f t="shared" si="582"/>
        <v>0.17412122161652235</v>
      </c>
      <c r="AG761" s="26"/>
    </row>
    <row r="762" spans="1:33" s="221" customFormat="1" x14ac:dyDescent="0.2">
      <c r="A762" s="4" t="s">
        <v>97</v>
      </c>
      <c r="B762" s="237"/>
      <c r="C762" s="515">
        <f>IF(C$729&gt;C761,C758+((C759-C758)/2),C758-((C758-C760)/2))</f>
        <v>126953125</v>
      </c>
      <c r="D762" s="515">
        <f t="shared" ref="D762:AF762" si="583">IF(D$729&gt;D761,D758+((D759-D758)/2),D758-((D758-D760)/2))</f>
        <v>-3154296875</v>
      </c>
      <c r="E762" s="515">
        <f t="shared" si="583"/>
        <v>-166015625</v>
      </c>
      <c r="F762" s="515">
        <f t="shared" si="583"/>
        <v>126953125</v>
      </c>
      <c r="G762" s="515">
        <f t="shared" si="583"/>
        <v>-1103515625</v>
      </c>
      <c r="H762" s="515">
        <f t="shared" si="583"/>
        <v>126953125</v>
      </c>
      <c r="I762" s="515">
        <f t="shared" si="583"/>
        <v>-48828125</v>
      </c>
      <c r="J762" s="515">
        <f t="shared" si="583"/>
        <v>419921875</v>
      </c>
      <c r="K762" s="515">
        <f t="shared" si="583"/>
        <v>68359375</v>
      </c>
      <c r="L762" s="515">
        <f t="shared" si="583"/>
        <v>68359375</v>
      </c>
      <c r="M762" s="515">
        <f t="shared" si="583"/>
        <v>68359375</v>
      </c>
      <c r="N762" s="515">
        <f t="shared" si="583"/>
        <v>68359375</v>
      </c>
      <c r="O762" s="515">
        <f t="shared" si="583"/>
        <v>68359375</v>
      </c>
      <c r="P762" s="515">
        <f t="shared" si="583"/>
        <v>68359375</v>
      </c>
      <c r="Q762" s="515">
        <f t="shared" si="583"/>
        <v>9765625</v>
      </c>
      <c r="R762" s="515">
        <f t="shared" si="583"/>
        <v>-48828125</v>
      </c>
      <c r="S762" s="515">
        <f t="shared" si="583"/>
        <v>-48828125</v>
      </c>
      <c r="T762" s="515">
        <f t="shared" si="583"/>
        <v>9765625</v>
      </c>
      <c r="U762" s="515">
        <f t="shared" si="583"/>
        <v>9765625</v>
      </c>
      <c r="V762" s="515">
        <f t="shared" si="583"/>
        <v>-107421875</v>
      </c>
      <c r="W762" s="515">
        <f t="shared" si="583"/>
        <v>-107421875</v>
      </c>
      <c r="X762" s="515">
        <f t="shared" si="583"/>
        <v>9765625</v>
      </c>
      <c r="Y762" s="515">
        <f t="shared" si="583"/>
        <v>9765625</v>
      </c>
      <c r="Z762" s="515">
        <f t="shared" si="583"/>
        <v>9765625</v>
      </c>
      <c r="AA762" s="515">
        <f t="shared" si="583"/>
        <v>2587890625</v>
      </c>
      <c r="AB762" s="515">
        <f t="shared" si="583"/>
        <v>2587890625</v>
      </c>
      <c r="AC762" s="515">
        <f t="shared" si="583"/>
        <v>2587890625</v>
      </c>
      <c r="AD762" s="515">
        <f t="shared" si="583"/>
        <v>2587890625</v>
      </c>
      <c r="AE762" s="515">
        <f t="shared" si="583"/>
        <v>2587890625</v>
      </c>
      <c r="AF762" s="515">
        <f t="shared" si="583"/>
        <v>2587890625</v>
      </c>
      <c r="AG762" s="86"/>
    </row>
    <row r="763" spans="1:33" s="221" customFormat="1" x14ac:dyDescent="0.2">
      <c r="A763" s="4" t="s">
        <v>98</v>
      </c>
      <c r="B763" s="237"/>
      <c r="C763" s="515">
        <f>IF(C$729&lt;C761,C758,C759)</f>
        <v>156250000</v>
      </c>
      <c r="D763" s="515">
        <f t="shared" ref="D763:AF763" si="584">IF(D$729&lt;D761,D758,D759)</f>
        <v>-3125000000</v>
      </c>
      <c r="E763" s="515">
        <f t="shared" si="584"/>
        <v>-136718750</v>
      </c>
      <c r="F763" s="515">
        <f t="shared" si="584"/>
        <v>156250000</v>
      </c>
      <c r="G763" s="515">
        <f t="shared" si="584"/>
        <v>-1074218750</v>
      </c>
      <c r="H763" s="515">
        <f t="shared" si="584"/>
        <v>156250000</v>
      </c>
      <c r="I763" s="515">
        <f t="shared" si="584"/>
        <v>-19531250</v>
      </c>
      <c r="J763" s="515">
        <f t="shared" si="584"/>
        <v>449218750</v>
      </c>
      <c r="K763" s="515">
        <f t="shared" si="584"/>
        <v>97656250</v>
      </c>
      <c r="L763" s="515">
        <f t="shared" si="584"/>
        <v>97656250</v>
      </c>
      <c r="M763" s="515">
        <f t="shared" si="584"/>
        <v>97656250</v>
      </c>
      <c r="N763" s="515">
        <f t="shared" si="584"/>
        <v>97656250</v>
      </c>
      <c r="O763" s="515">
        <f t="shared" si="584"/>
        <v>97656250</v>
      </c>
      <c r="P763" s="515">
        <f t="shared" si="584"/>
        <v>97656250</v>
      </c>
      <c r="Q763" s="515">
        <f t="shared" si="584"/>
        <v>39062500</v>
      </c>
      <c r="R763" s="515">
        <f t="shared" si="584"/>
        <v>-19531250</v>
      </c>
      <c r="S763" s="515">
        <f t="shared" si="584"/>
        <v>-19531250</v>
      </c>
      <c r="T763" s="515">
        <f t="shared" si="584"/>
        <v>39062500</v>
      </c>
      <c r="U763" s="515">
        <f t="shared" si="584"/>
        <v>39062500</v>
      </c>
      <c r="V763" s="515">
        <f t="shared" si="584"/>
        <v>-78125000</v>
      </c>
      <c r="W763" s="515">
        <f t="shared" si="584"/>
        <v>-78125000</v>
      </c>
      <c r="X763" s="515">
        <f t="shared" si="584"/>
        <v>39062500</v>
      </c>
      <c r="Y763" s="515">
        <f t="shared" si="584"/>
        <v>39062500</v>
      </c>
      <c r="Z763" s="515">
        <f t="shared" si="584"/>
        <v>39062500</v>
      </c>
      <c r="AA763" s="515">
        <f t="shared" si="584"/>
        <v>2597656250</v>
      </c>
      <c r="AB763" s="515">
        <f t="shared" si="584"/>
        <v>2597656250</v>
      </c>
      <c r="AC763" s="515">
        <f t="shared" si="584"/>
        <v>2597656250</v>
      </c>
      <c r="AD763" s="515">
        <f t="shared" si="584"/>
        <v>2597656250</v>
      </c>
      <c r="AE763" s="515">
        <f t="shared" si="584"/>
        <v>2597656250</v>
      </c>
      <c r="AF763" s="515">
        <f t="shared" si="584"/>
        <v>2597656250</v>
      </c>
      <c r="AG763" s="86"/>
    </row>
    <row r="764" spans="1:33" s="221" customFormat="1" x14ac:dyDescent="0.2">
      <c r="A764" s="4" t="s">
        <v>99</v>
      </c>
      <c r="B764" s="237"/>
      <c r="C764" s="515">
        <f>IF(C$729&gt;C761,C758,C760)</f>
        <v>97656250</v>
      </c>
      <c r="D764" s="515">
        <f t="shared" ref="D764:AF764" si="585">IF(D$729&gt;D761,D758,D760)</f>
        <v>-3183593750</v>
      </c>
      <c r="E764" s="515">
        <f t="shared" si="585"/>
        <v>-195312500</v>
      </c>
      <c r="F764" s="515">
        <f t="shared" si="585"/>
        <v>97656250</v>
      </c>
      <c r="G764" s="515">
        <f t="shared" si="585"/>
        <v>-1132812500</v>
      </c>
      <c r="H764" s="515">
        <f t="shared" si="585"/>
        <v>97656250</v>
      </c>
      <c r="I764" s="515">
        <f t="shared" si="585"/>
        <v>-78125000</v>
      </c>
      <c r="J764" s="515">
        <f t="shared" si="585"/>
        <v>390625000</v>
      </c>
      <c r="K764" s="515">
        <f t="shared" si="585"/>
        <v>39062500</v>
      </c>
      <c r="L764" s="515">
        <f t="shared" si="585"/>
        <v>39062500</v>
      </c>
      <c r="M764" s="515">
        <f t="shared" si="585"/>
        <v>39062500</v>
      </c>
      <c r="N764" s="515">
        <f t="shared" si="585"/>
        <v>39062500</v>
      </c>
      <c r="O764" s="515">
        <f t="shared" si="585"/>
        <v>39062500</v>
      </c>
      <c r="P764" s="515">
        <f t="shared" si="585"/>
        <v>39062500</v>
      </c>
      <c r="Q764" s="515">
        <f t="shared" si="585"/>
        <v>-19531250</v>
      </c>
      <c r="R764" s="515">
        <f t="shared" si="585"/>
        <v>-78125000</v>
      </c>
      <c r="S764" s="515">
        <f t="shared" si="585"/>
        <v>-78125000</v>
      </c>
      <c r="T764" s="515">
        <f t="shared" si="585"/>
        <v>-19531250</v>
      </c>
      <c r="U764" s="515">
        <f t="shared" si="585"/>
        <v>-19531250</v>
      </c>
      <c r="V764" s="515">
        <f t="shared" si="585"/>
        <v>-136718750</v>
      </c>
      <c r="W764" s="515">
        <f t="shared" si="585"/>
        <v>-136718750</v>
      </c>
      <c r="X764" s="515">
        <f t="shared" si="585"/>
        <v>-19531250</v>
      </c>
      <c r="Y764" s="515">
        <f t="shared" si="585"/>
        <v>-19531250</v>
      </c>
      <c r="Z764" s="515">
        <f t="shared" si="585"/>
        <v>-19531250</v>
      </c>
      <c r="AA764" s="515">
        <f t="shared" si="585"/>
        <v>2578125000</v>
      </c>
      <c r="AB764" s="515">
        <f t="shared" si="585"/>
        <v>2578125000</v>
      </c>
      <c r="AC764" s="515">
        <f t="shared" si="585"/>
        <v>2578125000</v>
      </c>
      <c r="AD764" s="515">
        <f t="shared" si="585"/>
        <v>2578125000</v>
      </c>
      <c r="AE764" s="515">
        <f t="shared" si="585"/>
        <v>2578125000</v>
      </c>
      <c r="AF764" s="515">
        <f t="shared" si="585"/>
        <v>2578125000</v>
      </c>
      <c r="AG764" s="86"/>
    </row>
    <row r="765" spans="1:33" s="220" customFormat="1" x14ac:dyDescent="0.2">
      <c r="A765" s="4" t="s">
        <v>100</v>
      </c>
      <c r="B765" s="236"/>
      <c r="C765" s="30">
        <f t="shared" ref="C765:AF765" si="586">(1/C245)*((EXP(C$241*C762)-1)/(EXP(C$242*C762)-1))</f>
        <v>4.8566443876203742E-2</v>
      </c>
      <c r="D765" s="30">
        <f t="shared" si="586"/>
        <v>1.7904274530493983E-2</v>
      </c>
      <c r="E765" s="30">
        <f t="shared" si="586"/>
        <v>4.3027607734326255E-2</v>
      </c>
      <c r="F765" s="30">
        <f t="shared" si="586"/>
        <v>4.8566443876203742E-2</v>
      </c>
      <c r="G765" s="30">
        <f t="shared" si="586"/>
        <v>3.0549242183423649E-2</v>
      </c>
      <c r="H765" s="30">
        <f t="shared" si="586"/>
        <v>4.8566443876203742E-2</v>
      </c>
      <c r="I765" s="30">
        <f t="shared" si="586"/>
        <v>4.5126363965465127E-2</v>
      </c>
      <c r="J765" s="30">
        <f t="shared" si="586"/>
        <v>5.5189840200854254E-2</v>
      </c>
      <c r="K765" s="30">
        <f t="shared" si="586"/>
        <v>4.7378736988328077E-2</v>
      </c>
      <c r="L765" s="30">
        <f t="shared" si="586"/>
        <v>4.7378736988328077E-2</v>
      </c>
      <c r="M765" s="30">
        <f t="shared" si="586"/>
        <v>4.7378736988328077E-2</v>
      </c>
      <c r="N765" s="30">
        <f t="shared" si="586"/>
        <v>4.7378736988328077E-2</v>
      </c>
      <c r="O765" s="30">
        <f t="shared" si="586"/>
        <v>4.7378736988328077E-2</v>
      </c>
      <c r="P765" s="30">
        <f t="shared" si="586"/>
        <v>4.7378736988328077E-2</v>
      </c>
      <c r="Q765" s="30">
        <f t="shared" si="586"/>
        <v>4.6232582075470624E-2</v>
      </c>
      <c r="R765" s="30">
        <f t="shared" si="586"/>
        <v>4.5126363965465127E-2</v>
      </c>
      <c r="S765" s="30">
        <f t="shared" si="586"/>
        <v>4.5126363965465127E-2</v>
      </c>
      <c r="T765" s="30">
        <f t="shared" si="586"/>
        <v>4.6232582075470624E-2</v>
      </c>
      <c r="U765" s="30">
        <f t="shared" si="586"/>
        <v>4.6232582075470624E-2</v>
      </c>
      <c r="V765" s="30">
        <f t="shared" si="586"/>
        <v>4.4058534110247981E-2</v>
      </c>
      <c r="W765" s="30">
        <f t="shared" si="586"/>
        <v>4.4058534110247981E-2</v>
      </c>
      <c r="X765" s="30">
        <f t="shared" si="586"/>
        <v>4.6232582075470624E-2</v>
      </c>
      <c r="Y765" s="30">
        <f t="shared" si="586"/>
        <v>4.6232582075470624E-2</v>
      </c>
      <c r="Z765" s="30">
        <f t="shared" si="586"/>
        <v>4.6232582075470624E-2</v>
      </c>
      <c r="AA765" s="30">
        <f t="shared" si="586"/>
        <v>0.17310478992592521</v>
      </c>
      <c r="AB765" s="30">
        <f t="shared" si="586"/>
        <v>0.17310478992592521</v>
      </c>
      <c r="AC765" s="30">
        <f t="shared" si="586"/>
        <v>0.17310478992592521</v>
      </c>
      <c r="AD765" s="30">
        <f t="shared" si="586"/>
        <v>0.17310478992592521</v>
      </c>
      <c r="AE765" s="30">
        <f t="shared" si="586"/>
        <v>0.17310478992592521</v>
      </c>
      <c r="AF765" s="30">
        <f t="shared" si="586"/>
        <v>0.17310478992592521</v>
      </c>
      <c r="AG765" s="26"/>
    </row>
    <row r="766" spans="1:33" s="221" customFormat="1" x14ac:dyDescent="0.2">
      <c r="A766" s="4" t="s">
        <v>97</v>
      </c>
      <c r="B766" s="237"/>
      <c r="C766" s="515">
        <f>IF(C$729&gt;C765,C762+((C763-C762)/2),C762-((C762-C764)/2))</f>
        <v>112304687.5</v>
      </c>
      <c r="D766" s="515">
        <f t="shared" ref="D766:AF766" si="587">IF(D$729&gt;D765,D762+((D763-D762)/2),D762-((D762-D764)/2))</f>
        <v>-3168945312.5</v>
      </c>
      <c r="E766" s="515">
        <f t="shared" si="587"/>
        <v>-180664062.5</v>
      </c>
      <c r="F766" s="515">
        <f t="shared" si="587"/>
        <v>141601562.5</v>
      </c>
      <c r="G766" s="515">
        <f t="shared" si="587"/>
        <v>-1088867187.5</v>
      </c>
      <c r="H766" s="515">
        <f t="shared" si="587"/>
        <v>112304687.5</v>
      </c>
      <c r="I766" s="515">
        <f t="shared" si="587"/>
        <v>-34179687.5</v>
      </c>
      <c r="J766" s="515">
        <f t="shared" si="587"/>
        <v>405273437.5</v>
      </c>
      <c r="K766" s="515">
        <f t="shared" si="587"/>
        <v>53710937.5</v>
      </c>
      <c r="L766" s="515">
        <f t="shared" si="587"/>
        <v>53710937.5</v>
      </c>
      <c r="M766" s="515">
        <f t="shared" si="587"/>
        <v>53710937.5</v>
      </c>
      <c r="N766" s="515">
        <f t="shared" si="587"/>
        <v>53710937.5</v>
      </c>
      <c r="O766" s="515">
        <f t="shared" si="587"/>
        <v>53710937.5</v>
      </c>
      <c r="P766" s="515">
        <f t="shared" si="587"/>
        <v>53710937.5</v>
      </c>
      <c r="Q766" s="515">
        <f t="shared" si="587"/>
        <v>24414062.5</v>
      </c>
      <c r="R766" s="515">
        <f t="shared" si="587"/>
        <v>-34179687.5</v>
      </c>
      <c r="S766" s="515">
        <f t="shared" si="587"/>
        <v>-34179687.5</v>
      </c>
      <c r="T766" s="515">
        <f t="shared" si="587"/>
        <v>-4882812.5</v>
      </c>
      <c r="U766" s="515">
        <f t="shared" si="587"/>
        <v>24414062.5</v>
      </c>
      <c r="V766" s="515">
        <f t="shared" si="587"/>
        <v>-92773437.5</v>
      </c>
      <c r="W766" s="515">
        <f t="shared" si="587"/>
        <v>-92773437.5</v>
      </c>
      <c r="X766" s="515">
        <f t="shared" si="587"/>
        <v>24414062.5</v>
      </c>
      <c r="Y766" s="515">
        <f t="shared" si="587"/>
        <v>24414062.5</v>
      </c>
      <c r="Z766" s="515">
        <f t="shared" si="587"/>
        <v>-4882812.5</v>
      </c>
      <c r="AA766" s="515">
        <f t="shared" si="587"/>
        <v>2583007812.5</v>
      </c>
      <c r="AB766" s="515">
        <f t="shared" si="587"/>
        <v>2583007812.5</v>
      </c>
      <c r="AC766" s="515">
        <f t="shared" si="587"/>
        <v>2583007812.5</v>
      </c>
      <c r="AD766" s="515">
        <f t="shared" si="587"/>
        <v>2583007812.5</v>
      </c>
      <c r="AE766" s="515">
        <f t="shared" si="587"/>
        <v>2583007812.5</v>
      </c>
      <c r="AF766" s="515">
        <f t="shared" si="587"/>
        <v>2583007812.5</v>
      </c>
      <c r="AG766" s="86"/>
    </row>
    <row r="767" spans="1:33" s="221" customFormat="1" x14ac:dyDescent="0.2">
      <c r="A767" s="4" t="s">
        <v>98</v>
      </c>
      <c r="B767" s="237"/>
      <c r="C767" s="515">
        <f>IF(C$729&lt;C765,C762,C763)</f>
        <v>126953125</v>
      </c>
      <c r="D767" s="515">
        <f t="shared" ref="D767:AF767" si="588">IF(D$729&lt;D765,D762,D763)</f>
        <v>-3154296875</v>
      </c>
      <c r="E767" s="515">
        <f t="shared" si="588"/>
        <v>-166015625</v>
      </c>
      <c r="F767" s="515">
        <f t="shared" si="588"/>
        <v>156250000</v>
      </c>
      <c r="G767" s="515">
        <f t="shared" si="588"/>
        <v>-1074218750</v>
      </c>
      <c r="H767" s="515">
        <f t="shared" si="588"/>
        <v>126953125</v>
      </c>
      <c r="I767" s="515">
        <f t="shared" si="588"/>
        <v>-19531250</v>
      </c>
      <c r="J767" s="515">
        <f t="shared" si="588"/>
        <v>419921875</v>
      </c>
      <c r="K767" s="515">
        <f t="shared" si="588"/>
        <v>68359375</v>
      </c>
      <c r="L767" s="515">
        <f t="shared" si="588"/>
        <v>68359375</v>
      </c>
      <c r="M767" s="515">
        <f t="shared" si="588"/>
        <v>68359375</v>
      </c>
      <c r="N767" s="515">
        <f t="shared" si="588"/>
        <v>68359375</v>
      </c>
      <c r="O767" s="515">
        <f t="shared" si="588"/>
        <v>68359375</v>
      </c>
      <c r="P767" s="515">
        <f t="shared" si="588"/>
        <v>68359375</v>
      </c>
      <c r="Q767" s="515">
        <f t="shared" si="588"/>
        <v>39062500</v>
      </c>
      <c r="R767" s="515">
        <f t="shared" si="588"/>
        <v>-19531250</v>
      </c>
      <c r="S767" s="515">
        <f t="shared" si="588"/>
        <v>-19531250</v>
      </c>
      <c r="T767" s="515">
        <f t="shared" si="588"/>
        <v>9765625</v>
      </c>
      <c r="U767" s="515">
        <f t="shared" si="588"/>
        <v>39062500</v>
      </c>
      <c r="V767" s="515">
        <f t="shared" si="588"/>
        <v>-78125000</v>
      </c>
      <c r="W767" s="515">
        <f t="shared" si="588"/>
        <v>-78125000</v>
      </c>
      <c r="X767" s="515">
        <f t="shared" si="588"/>
        <v>39062500</v>
      </c>
      <c r="Y767" s="515">
        <f t="shared" si="588"/>
        <v>39062500</v>
      </c>
      <c r="Z767" s="515">
        <f t="shared" si="588"/>
        <v>9765625</v>
      </c>
      <c r="AA767" s="515">
        <f t="shared" si="588"/>
        <v>2587890625</v>
      </c>
      <c r="AB767" s="515">
        <f t="shared" si="588"/>
        <v>2587890625</v>
      </c>
      <c r="AC767" s="515">
        <f t="shared" si="588"/>
        <v>2587890625</v>
      </c>
      <c r="AD767" s="515">
        <f t="shared" si="588"/>
        <v>2587890625</v>
      </c>
      <c r="AE767" s="515">
        <f t="shared" si="588"/>
        <v>2587890625</v>
      </c>
      <c r="AF767" s="515">
        <f t="shared" si="588"/>
        <v>2587890625</v>
      </c>
      <c r="AG767" s="86"/>
    </row>
    <row r="768" spans="1:33" s="221" customFormat="1" x14ac:dyDescent="0.2">
      <c r="A768" s="4" t="s">
        <v>99</v>
      </c>
      <c r="B768" s="237"/>
      <c r="C768" s="515">
        <f>IF(C$729&gt;C765,C762,C764)</f>
        <v>97656250</v>
      </c>
      <c r="D768" s="515">
        <f t="shared" ref="D768:AF768" si="589">IF(D$729&gt;D765,D762,D764)</f>
        <v>-3183593750</v>
      </c>
      <c r="E768" s="515">
        <f t="shared" si="589"/>
        <v>-195312500</v>
      </c>
      <c r="F768" s="515">
        <f t="shared" si="589"/>
        <v>126953125</v>
      </c>
      <c r="G768" s="515">
        <f t="shared" si="589"/>
        <v>-1103515625</v>
      </c>
      <c r="H768" s="515">
        <f t="shared" si="589"/>
        <v>97656250</v>
      </c>
      <c r="I768" s="515">
        <f t="shared" si="589"/>
        <v>-48828125</v>
      </c>
      <c r="J768" s="515">
        <f t="shared" si="589"/>
        <v>390625000</v>
      </c>
      <c r="K768" s="515">
        <f t="shared" si="589"/>
        <v>39062500</v>
      </c>
      <c r="L768" s="515">
        <f t="shared" si="589"/>
        <v>39062500</v>
      </c>
      <c r="M768" s="515">
        <f t="shared" si="589"/>
        <v>39062500</v>
      </c>
      <c r="N768" s="515">
        <f t="shared" si="589"/>
        <v>39062500</v>
      </c>
      <c r="O768" s="515">
        <f t="shared" si="589"/>
        <v>39062500</v>
      </c>
      <c r="P768" s="515">
        <f t="shared" si="589"/>
        <v>39062500</v>
      </c>
      <c r="Q768" s="515">
        <f t="shared" si="589"/>
        <v>9765625</v>
      </c>
      <c r="R768" s="515">
        <f t="shared" si="589"/>
        <v>-48828125</v>
      </c>
      <c r="S768" s="515">
        <f t="shared" si="589"/>
        <v>-48828125</v>
      </c>
      <c r="T768" s="515">
        <f t="shared" si="589"/>
        <v>-19531250</v>
      </c>
      <c r="U768" s="515">
        <f t="shared" si="589"/>
        <v>9765625</v>
      </c>
      <c r="V768" s="515">
        <f t="shared" si="589"/>
        <v>-107421875</v>
      </c>
      <c r="W768" s="515">
        <f t="shared" si="589"/>
        <v>-107421875</v>
      </c>
      <c r="X768" s="515">
        <f t="shared" si="589"/>
        <v>9765625</v>
      </c>
      <c r="Y768" s="515">
        <f t="shared" si="589"/>
        <v>9765625</v>
      </c>
      <c r="Z768" s="515">
        <f t="shared" si="589"/>
        <v>-19531250</v>
      </c>
      <c r="AA768" s="515">
        <f t="shared" si="589"/>
        <v>2578125000</v>
      </c>
      <c r="AB768" s="515">
        <f t="shared" si="589"/>
        <v>2578125000</v>
      </c>
      <c r="AC768" s="515">
        <f t="shared" si="589"/>
        <v>2578125000</v>
      </c>
      <c r="AD768" s="515">
        <f t="shared" si="589"/>
        <v>2578125000</v>
      </c>
      <c r="AE768" s="515">
        <f t="shared" si="589"/>
        <v>2578125000</v>
      </c>
      <c r="AF768" s="515">
        <f t="shared" si="589"/>
        <v>2578125000</v>
      </c>
      <c r="AG768" s="86"/>
    </row>
    <row r="769" spans="1:33" s="220" customFormat="1" x14ac:dyDescent="0.2">
      <c r="A769" s="4" t="s">
        <v>100</v>
      </c>
      <c r="B769" s="236"/>
      <c r="C769" s="30">
        <f t="shared" ref="C769:AF769" si="590">(1/C245)*((EXP(C$241*C766)-1)/(EXP(C$242*C766)-1))</f>
        <v>4.8265530738630387E-2</v>
      </c>
      <c r="D769" s="30">
        <f t="shared" si="590"/>
        <v>1.7852093811569443E-2</v>
      </c>
      <c r="E769" s="30">
        <f t="shared" si="590"/>
        <v>4.2775474162073022E-2</v>
      </c>
      <c r="F769" s="30">
        <f t="shared" si="590"/>
        <v>4.887005895587309E-2</v>
      </c>
      <c r="G769" s="30">
        <f t="shared" si="590"/>
        <v>3.0697333624034023E-2</v>
      </c>
      <c r="H769" s="30">
        <f t="shared" si="590"/>
        <v>4.8265530738630387E-2</v>
      </c>
      <c r="I769" s="30">
        <f t="shared" si="590"/>
        <v>4.5399260215263339E-2</v>
      </c>
      <c r="J769" s="30">
        <f t="shared" si="590"/>
        <v>5.4829410572719887E-2</v>
      </c>
      <c r="K769" s="30">
        <f t="shared" si="590"/>
        <v>4.7088367021274773E-2</v>
      </c>
      <c r="L769" s="30">
        <f t="shared" si="590"/>
        <v>4.7088367021274773E-2</v>
      </c>
      <c r="M769" s="30">
        <f t="shared" si="590"/>
        <v>4.7088367021274773E-2</v>
      </c>
      <c r="N769" s="30">
        <f t="shared" si="590"/>
        <v>4.7088367021274773E-2</v>
      </c>
      <c r="O769" s="30">
        <f t="shared" si="590"/>
        <v>4.7088367021274773E-2</v>
      </c>
      <c r="P769" s="30">
        <f t="shared" si="590"/>
        <v>4.7088367021274773E-2</v>
      </c>
      <c r="Q769" s="30">
        <f t="shared" si="590"/>
        <v>4.6515314796816212E-2</v>
      </c>
      <c r="R769" s="30">
        <f t="shared" si="590"/>
        <v>4.5399260215263339E-2</v>
      </c>
      <c r="S769" s="30">
        <f t="shared" si="590"/>
        <v>4.5399260215263339E-2</v>
      </c>
      <c r="T769" s="30">
        <f t="shared" si="590"/>
        <v>4.5952345079076556E-2</v>
      </c>
      <c r="U769" s="30">
        <f t="shared" si="590"/>
        <v>4.6515314796816212E-2</v>
      </c>
      <c r="V769" s="30">
        <f t="shared" si="590"/>
        <v>4.4321974937631833E-2</v>
      </c>
      <c r="W769" s="30">
        <f t="shared" si="590"/>
        <v>4.4321974937631833E-2</v>
      </c>
      <c r="X769" s="30">
        <f t="shared" si="590"/>
        <v>4.6515314796816212E-2</v>
      </c>
      <c r="Y769" s="30">
        <f t="shared" si="590"/>
        <v>4.6515314796816212E-2</v>
      </c>
      <c r="Z769" s="30">
        <f t="shared" si="590"/>
        <v>4.5952345079076556E-2</v>
      </c>
      <c r="AA769" s="30">
        <f t="shared" si="590"/>
        <v>0.17259915968872663</v>
      </c>
      <c r="AB769" s="30">
        <f t="shared" si="590"/>
        <v>0.17259915968872663</v>
      </c>
      <c r="AC769" s="30">
        <f t="shared" si="590"/>
        <v>0.17259915968872663</v>
      </c>
      <c r="AD769" s="30">
        <f t="shared" si="590"/>
        <v>0.17259915968872663</v>
      </c>
      <c r="AE769" s="30">
        <f t="shared" si="590"/>
        <v>0.17259915968872663</v>
      </c>
      <c r="AF769" s="30">
        <f t="shared" si="590"/>
        <v>0.17259915968872663</v>
      </c>
      <c r="AG769" s="26"/>
    </row>
    <row r="770" spans="1:33" s="221" customFormat="1" x14ac:dyDescent="0.2">
      <c r="A770" s="4" t="s">
        <v>97</v>
      </c>
      <c r="B770" s="237"/>
      <c r="C770" s="515">
        <f>IF(C$729&gt;C769,C766+((C767-C766)/2),C766-((C766-C768)/2))</f>
        <v>119628906.25</v>
      </c>
      <c r="D770" s="515">
        <f t="shared" ref="D770:AF770" si="591">IF(D$729&gt;D769,D766+((D767-D766)/2),D766-((D766-D768)/2))</f>
        <v>-3176269531.25</v>
      </c>
      <c r="E770" s="515">
        <f t="shared" si="591"/>
        <v>-173339843.75</v>
      </c>
      <c r="F770" s="515">
        <f t="shared" si="591"/>
        <v>148925781.25</v>
      </c>
      <c r="G770" s="515">
        <f t="shared" si="591"/>
        <v>-1096191406.25</v>
      </c>
      <c r="H770" s="515">
        <f t="shared" si="591"/>
        <v>104980468.75</v>
      </c>
      <c r="I770" s="515">
        <f t="shared" si="591"/>
        <v>-41503906.25</v>
      </c>
      <c r="J770" s="515">
        <f t="shared" si="591"/>
        <v>412597656.25</v>
      </c>
      <c r="K770" s="515">
        <f t="shared" si="591"/>
        <v>46386718.75</v>
      </c>
      <c r="L770" s="515">
        <f t="shared" si="591"/>
        <v>46386718.75</v>
      </c>
      <c r="M770" s="515">
        <f t="shared" si="591"/>
        <v>46386718.75</v>
      </c>
      <c r="N770" s="515">
        <f t="shared" si="591"/>
        <v>46386718.75</v>
      </c>
      <c r="O770" s="515">
        <f t="shared" si="591"/>
        <v>46386718.75</v>
      </c>
      <c r="P770" s="515">
        <f t="shared" si="591"/>
        <v>46386718.75</v>
      </c>
      <c r="Q770" s="515">
        <f t="shared" si="591"/>
        <v>17089843.75</v>
      </c>
      <c r="R770" s="515">
        <f t="shared" si="591"/>
        <v>-41503906.25</v>
      </c>
      <c r="S770" s="515">
        <f t="shared" si="591"/>
        <v>-26855468.75</v>
      </c>
      <c r="T770" s="515">
        <f t="shared" si="591"/>
        <v>2441406.25</v>
      </c>
      <c r="U770" s="515">
        <f t="shared" si="591"/>
        <v>17089843.75</v>
      </c>
      <c r="V770" s="515">
        <f t="shared" si="591"/>
        <v>-100097656.25</v>
      </c>
      <c r="W770" s="515">
        <f t="shared" si="591"/>
        <v>-85449218.75</v>
      </c>
      <c r="X770" s="515">
        <f t="shared" si="591"/>
        <v>31738281.25</v>
      </c>
      <c r="Y770" s="515">
        <f t="shared" si="591"/>
        <v>31738281.25</v>
      </c>
      <c r="Z770" s="515">
        <f t="shared" si="591"/>
        <v>-12207031.25</v>
      </c>
      <c r="AA770" s="515">
        <f t="shared" si="591"/>
        <v>2580566406.25</v>
      </c>
      <c r="AB770" s="515">
        <f t="shared" si="591"/>
        <v>2585449218.75</v>
      </c>
      <c r="AC770" s="515">
        <f t="shared" si="591"/>
        <v>2585449218.75</v>
      </c>
      <c r="AD770" s="515">
        <f t="shared" si="591"/>
        <v>2585449218.75</v>
      </c>
      <c r="AE770" s="515">
        <f t="shared" si="591"/>
        <v>2580566406.25</v>
      </c>
      <c r="AF770" s="515">
        <f t="shared" si="591"/>
        <v>2585449218.75</v>
      </c>
      <c r="AG770" s="86"/>
    </row>
    <row r="771" spans="1:33" s="221" customFormat="1" x14ac:dyDescent="0.2">
      <c r="A771" s="4" t="s">
        <v>98</v>
      </c>
      <c r="B771" s="237"/>
      <c r="C771" s="515">
        <f>IF(C$729&lt;C769,C766,C767)</f>
        <v>126953125</v>
      </c>
      <c r="D771" s="515">
        <f t="shared" ref="D771:AF771" si="592">IF(D$729&lt;D769,D766,D767)</f>
        <v>-3168945312.5</v>
      </c>
      <c r="E771" s="515">
        <f t="shared" si="592"/>
        <v>-166015625</v>
      </c>
      <c r="F771" s="515">
        <f t="shared" si="592"/>
        <v>156250000</v>
      </c>
      <c r="G771" s="515">
        <f t="shared" si="592"/>
        <v>-1088867187.5</v>
      </c>
      <c r="H771" s="515">
        <f t="shared" si="592"/>
        <v>112304687.5</v>
      </c>
      <c r="I771" s="515">
        <f t="shared" si="592"/>
        <v>-34179687.5</v>
      </c>
      <c r="J771" s="515">
        <f t="shared" si="592"/>
        <v>419921875</v>
      </c>
      <c r="K771" s="515">
        <f t="shared" si="592"/>
        <v>53710937.5</v>
      </c>
      <c r="L771" s="515">
        <f t="shared" si="592"/>
        <v>53710937.5</v>
      </c>
      <c r="M771" s="515">
        <f t="shared" si="592"/>
        <v>53710937.5</v>
      </c>
      <c r="N771" s="515">
        <f t="shared" si="592"/>
        <v>53710937.5</v>
      </c>
      <c r="O771" s="515">
        <f t="shared" si="592"/>
        <v>53710937.5</v>
      </c>
      <c r="P771" s="515">
        <f t="shared" si="592"/>
        <v>53710937.5</v>
      </c>
      <c r="Q771" s="515">
        <f t="shared" si="592"/>
        <v>24414062.5</v>
      </c>
      <c r="R771" s="515">
        <f t="shared" si="592"/>
        <v>-34179687.5</v>
      </c>
      <c r="S771" s="515">
        <f t="shared" si="592"/>
        <v>-19531250</v>
      </c>
      <c r="T771" s="515">
        <f t="shared" si="592"/>
        <v>9765625</v>
      </c>
      <c r="U771" s="515">
        <f t="shared" si="592"/>
        <v>24414062.5</v>
      </c>
      <c r="V771" s="515">
        <f t="shared" si="592"/>
        <v>-92773437.5</v>
      </c>
      <c r="W771" s="515">
        <f t="shared" si="592"/>
        <v>-78125000</v>
      </c>
      <c r="X771" s="515">
        <f t="shared" si="592"/>
        <v>39062500</v>
      </c>
      <c r="Y771" s="515">
        <f t="shared" si="592"/>
        <v>39062500</v>
      </c>
      <c r="Z771" s="515">
        <f t="shared" si="592"/>
        <v>-4882812.5</v>
      </c>
      <c r="AA771" s="515">
        <f t="shared" si="592"/>
        <v>2583007812.5</v>
      </c>
      <c r="AB771" s="515">
        <f t="shared" si="592"/>
        <v>2587890625</v>
      </c>
      <c r="AC771" s="515">
        <f t="shared" si="592"/>
        <v>2587890625</v>
      </c>
      <c r="AD771" s="515">
        <f t="shared" si="592"/>
        <v>2587890625</v>
      </c>
      <c r="AE771" s="515">
        <f t="shared" si="592"/>
        <v>2583007812.5</v>
      </c>
      <c r="AF771" s="515">
        <f t="shared" si="592"/>
        <v>2587890625</v>
      </c>
      <c r="AG771" s="86"/>
    </row>
    <row r="772" spans="1:33" s="221" customFormat="1" x14ac:dyDescent="0.2">
      <c r="A772" s="4" t="s">
        <v>99</v>
      </c>
      <c r="B772" s="237"/>
      <c r="C772" s="515">
        <f>IF(C$729&gt;C769,C766,C768)</f>
        <v>112304687.5</v>
      </c>
      <c r="D772" s="515">
        <f t="shared" ref="D772:AF772" si="593">IF(D$729&gt;D769,D766,D768)</f>
        <v>-3183593750</v>
      </c>
      <c r="E772" s="515">
        <f t="shared" si="593"/>
        <v>-180664062.5</v>
      </c>
      <c r="F772" s="515">
        <f t="shared" si="593"/>
        <v>141601562.5</v>
      </c>
      <c r="G772" s="515">
        <f t="shared" si="593"/>
        <v>-1103515625</v>
      </c>
      <c r="H772" s="515">
        <f t="shared" si="593"/>
        <v>97656250</v>
      </c>
      <c r="I772" s="515">
        <f t="shared" si="593"/>
        <v>-48828125</v>
      </c>
      <c r="J772" s="515">
        <f t="shared" si="593"/>
        <v>405273437.5</v>
      </c>
      <c r="K772" s="515">
        <f t="shared" si="593"/>
        <v>39062500</v>
      </c>
      <c r="L772" s="515">
        <f t="shared" si="593"/>
        <v>39062500</v>
      </c>
      <c r="M772" s="515">
        <f t="shared" si="593"/>
        <v>39062500</v>
      </c>
      <c r="N772" s="515">
        <f t="shared" si="593"/>
        <v>39062500</v>
      </c>
      <c r="O772" s="515">
        <f t="shared" si="593"/>
        <v>39062500</v>
      </c>
      <c r="P772" s="515">
        <f t="shared" si="593"/>
        <v>39062500</v>
      </c>
      <c r="Q772" s="515">
        <f t="shared" si="593"/>
        <v>9765625</v>
      </c>
      <c r="R772" s="515">
        <f t="shared" si="593"/>
        <v>-48828125</v>
      </c>
      <c r="S772" s="515">
        <f t="shared" si="593"/>
        <v>-34179687.5</v>
      </c>
      <c r="T772" s="515">
        <f t="shared" si="593"/>
        <v>-4882812.5</v>
      </c>
      <c r="U772" s="515">
        <f t="shared" si="593"/>
        <v>9765625</v>
      </c>
      <c r="V772" s="515">
        <f t="shared" si="593"/>
        <v>-107421875</v>
      </c>
      <c r="W772" s="515">
        <f t="shared" si="593"/>
        <v>-92773437.5</v>
      </c>
      <c r="X772" s="515">
        <f t="shared" si="593"/>
        <v>24414062.5</v>
      </c>
      <c r="Y772" s="515">
        <f t="shared" si="593"/>
        <v>24414062.5</v>
      </c>
      <c r="Z772" s="515">
        <f t="shared" si="593"/>
        <v>-19531250</v>
      </c>
      <c r="AA772" s="515">
        <f t="shared" si="593"/>
        <v>2578125000</v>
      </c>
      <c r="AB772" s="515">
        <f t="shared" si="593"/>
        <v>2583007812.5</v>
      </c>
      <c r="AC772" s="515">
        <f t="shared" si="593"/>
        <v>2583007812.5</v>
      </c>
      <c r="AD772" s="515">
        <f t="shared" si="593"/>
        <v>2583007812.5</v>
      </c>
      <c r="AE772" s="515">
        <f t="shared" si="593"/>
        <v>2578125000</v>
      </c>
      <c r="AF772" s="515">
        <f t="shared" si="593"/>
        <v>2583007812.5</v>
      </c>
      <c r="AG772" s="86"/>
    </row>
    <row r="773" spans="1:33" s="220" customFormat="1" x14ac:dyDescent="0.2">
      <c r="A773" s="4" t="s">
        <v>100</v>
      </c>
      <c r="B773" s="236"/>
      <c r="C773" s="30">
        <f t="shared" ref="C773:AF773" si="594">(1/C245)*((EXP(C$241*C770)-1)/(EXP(C$242*C770)-1))</f>
        <v>4.8415651242472144E-2</v>
      </c>
      <c r="D773" s="30">
        <f t="shared" si="594"/>
        <v>1.7826133374325977E-2</v>
      </c>
      <c r="E773" s="30">
        <f t="shared" si="594"/>
        <v>4.2901265157743042E-2</v>
      </c>
      <c r="F773" s="30">
        <f t="shared" si="594"/>
        <v>4.9022888157552152E-2</v>
      </c>
      <c r="G773" s="30">
        <f t="shared" si="594"/>
        <v>3.062313733588945E-2</v>
      </c>
      <c r="H773" s="30">
        <f t="shared" si="594"/>
        <v>4.8116079031133532E-2</v>
      </c>
      <c r="I773" s="30">
        <f t="shared" si="594"/>
        <v>4.5262510738646775E-2</v>
      </c>
      <c r="J773" s="30">
        <f t="shared" si="594"/>
        <v>5.5009214867151351E-2</v>
      </c>
      <c r="K773" s="30">
        <f t="shared" si="594"/>
        <v>4.6944147763645999E-2</v>
      </c>
      <c r="L773" s="30">
        <f t="shared" si="594"/>
        <v>4.6944147763645999E-2</v>
      </c>
      <c r="M773" s="30">
        <f t="shared" si="594"/>
        <v>4.6944147763645999E-2</v>
      </c>
      <c r="N773" s="30">
        <f t="shared" si="594"/>
        <v>4.6944147763645999E-2</v>
      </c>
      <c r="O773" s="30">
        <f t="shared" si="594"/>
        <v>4.6944147763645999E-2</v>
      </c>
      <c r="P773" s="30">
        <f t="shared" si="594"/>
        <v>4.6944147763645999E-2</v>
      </c>
      <c r="Q773" s="30">
        <f t="shared" si="594"/>
        <v>4.6373634924408449E-2</v>
      </c>
      <c r="R773" s="30">
        <f t="shared" si="594"/>
        <v>4.5262510738646775E-2</v>
      </c>
      <c r="S773" s="30">
        <f t="shared" si="594"/>
        <v>4.5536615379637845E-2</v>
      </c>
      <c r="T773" s="30">
        <f t="shared" si="594"/>
        <v>4.6092153153717709E-2</v>
      </c>
      <c r="U773" s="30">
        <f t="shared" si="594"/>
        <v>4.6373634924408449E-2</v>
      </c>
      <c r="V773" s="30">
        <f t="shared" si="594"/>
        <v>4.4189964831367889E-2</v>
      </c>
      <c r="W773" s="30">
        <f t="shared" si="594"/>
        <v>4.4454567290525854E-2</v>
      </c>
      <c r="X773" s="30">
        <f t="shared" si="594"/>
        <v>4.6657624805344335E-2</v>
      </c>
      <c r="Y773" s="30">
        <f t="shared" si="594"/>
        <v>4.6657624805344335E-2</v>
      </c>
      <c r="Z773" s="30">
        <f t="shared" si="594"/>
        <v>4.5813154787709011E-2</v>
      </c>
      <c r="AA773" s="30">
        <f t="shared" si="594"/>
        <v>0.17234698826672679</v>
      </c>
      <c r="AB773" s="30">
        <f t="shared" si="594"/>
        <v>0.17285175998473098</v>
      </c>
      <c r="AC773" s="30">
        <f t="shared" si="594"/>
        <v>0.17285175998473098</v>
      </c>
      <c r="AD773" s="30">
        <f t="shared" si="594"/>
        <v>0.17285175998473098</v>
      </c>
      <c r="AE773" s="30">
        <f t="shared" si="594"/>
        <v>0.17234698826672679</v>
      </c>
      <c r="AF773" s="30">
        <f t="shared" si="594"/>
        <v>0.17285175998473098</v>
      </c>
      <c r="AG773" s="26"/>
    </row>
    <row r="774" spans="1:33" s="221" customFormat="1" x14ac:dyDescent="0.2">
      <c r="A774" s="4" t="s">
        <v>97</v>
      </c>
      <c r="B774" s="237"/>
      <c r="C774" s="515">
        <f>IF(C$729&gt;C773,C770+((C771-C770)/2),C770-((C770-C772)/2))</f>
        <v>115966796.875</v>
      </c>
      <c r="D774" s="515">
        <f t="shared" ref="D774:AF774" si="595">IF(D$729&gt;D773,D770+((D771-D770)/2),D770-((D770-D772)/2))</f>
        <v>-3179931640.625</v>
      </c>
      <c r="E774" s="515">
        <f t="shared" si="595"/>
        <v>-169677734.375</v>
      </c>
      <c r="F774" s="515">
        <f t="shared" si="595"/>
        <v>152587890.625</v>
      </c>
      <c r="G774" s="515">
        <f t="shared" si="595"/>
        <v>-1099853515.625</v>
      </c>
      <c r="H774" s="515">
        <f t="shared" si="595"/>
        <v>101318359.375</v>
      </c>
      <c r="I774" s="515">
        <f t="shared" si="595"/>
        <v>-45166015.625</v>
      </c>
      <c r="J774" s="515">
        <f t="shared" si="595"/>
        <v>408935546.875</v>
      </c>
      <c r="K774" s="515">
        <f t="shared" si="595"/>
        <v>50048828.125</v>
      </c>
      <c r="L774" s="515">
        <f t="shared" si="595"/>
        <v>50048828.125</v>
      </c>
      <c r="M774" s="515">
        <f t="shared" si="595"/>
        <v>50048828.125</v>
      </c>
      <c r="N774" s="515">
        <f t="shared" si="595"/>
        <v>50048828.125</v>
      </c>
      <c r="O774" s="515">
        <f t="shared" si="595"/>
        <v>50048828.125</v>
      </c>
      <c r="P774" s="515">
        <f t="shared" si="595"/>
        <v>42724609.375</v>
      </c>
      <c r="Q774" s="515">
        <f t="shared" si="595"/>
        <v>13427734.375</v>
      </c>
      <c r="R774" s="515">
        <f t="shared" si="595"/>
        <v>-37841796.875</v>
      </c>
      <c r="S774" s="515">
        <f t="shared" si="595"/>
        <v>-23193359.375</v>
      </c>
      <c r="T774" s="515">
        <f t="shared" si="595"/>
        <v>-1220703.125</v>
      </c>
      <c r="U774" s="515">
        <f t="shared" si="595"/>
        <v>13427734.375</v>
      </c>
      <c r="V774" s="515">
        <f t="shared" si="595"/>
        <v>-96435546.875</v>
      </c>
      <c r="W774" s="515">
        <f t="shared" si="595"/>
        <v>-81787109.375</v>
      </c>
      <c r="X774" s="515">
        <f t="shared" si="595"/>
        <v>35400390.625</v>
      </c>
      <c r="Y774" s="515">
        <f t="shared" si="595"/>
        <v>35400390.625</v>
      </c>
      <c r="Z774" s="515">
        <f t="shared" si="595"/>
        <v>-8544921.875</v>
      </c>
      <c r="AA774" s="515">
        <f t="shared" si="595"/>
        <v>2581787109.375</v>
      </c>
      <c r="AB774" s="515">
        <f t="shared" si="595"/>
        <v>2584228515.625</v>
      </c>
      <c r="AC774" s="515">
        <f t="shared" si="595"/>
        <v>2584228515.625</v>
      </c>
      <c r="AD774" s="515">
        <f t="shared" si="595"/>
        <v>2584228515.625</v>
      </c>
      <c r="AE774" s="515">
        <f t="shared" si="595"/>
        <v>2581787109.375</v>
      </c>
      <c r="AF774" s="515">
        <f t="shared" si="595"/>
        <v>2584228515.625</v>
      </c>
      <c r="AG774" s="86"/>
    </row>
    <row r="775" spans="1:33" s="221" customFormat="1" x14ac:dyDescent="0.2">
      <c r="A775" s="4" t="s">
        <v>98</v>
      </c>
      <c r="B775" s="237"/>
      <c r="C775" s="515">
        <f>IF(C$729&lt;C773,C770,C771)</f>
        <v>119628906.25</v>
      </c>
      <c r="D775" s="515">
        <f t="shared" ref="D775:AF775" si="596">IF(D$729&lt;D773,D770,D771)</f>
        <v>-3176269531.25</v>
      </c>
      <c r="E775" s="515">
        <f t="shared" si="596"/>
        <v>-166015625</v>
      </c>
      <c r="F775" s="515">
        <f t="shared" si="596"/>
        <v>156250000</v>
      </c>
      <c r="G775" s="515">
        <f t="shared" si="596"/>
        <v>-1096191406.25</v>
      </c>
      <c r="H775" s="515">
        <f t="shared" si="596"/>
        <v>104980468.75</v>
      </c>
      <c r="I775" s="515">
        <f t="shared" si="596"/>
        <v>-41503906.25</v>
      </c>
      <c r="J775" s="515">
        <f t="shared" si="596"/>
        <v>412597656.25</v>
      </c>
      <c r="K775" s="515">
        <f t="shared" si="596"/>
        <v>53710937.5</v>
      </c>
      <c r="L775" s="515">
        <f t="shared" si="596"/>
        <v>53710937.5</v>
      </c>
      <c r="M775" s="515">
        <f t="shared" si="596"/>
        <v>53710937.5</v>
      </c>
      <c r="N775" s="515">
        <f t="shared" si="596"/>
        <v>53710937.5</v>
      </c>
      <c r="O775" s="515">
        <f t="shared" si="596"/>
        <v>53710937.5</v>
      </c>
      <c r="P775" s="515">
        <f t="shared" si="596"/>
        <v>46386718.75</v>
      </c>
      <c r="Q775" s="515">
        <f t="shared" si="596"/>
        <v>17089843.75</v>
      </c>
      <c r="R775" s="515">
        <f t="shared" si="596"/>
        <v>-34179687.5</v>
      </c>
      <c r="S775" s="515">
        <f t="shared" si="596"/>
        <v>-19531250</v>
      </c>
      <c r="T775" s="515">
        <f t="shared" si="596"/>
        <v>2441406.25</v>
      </c>
      <c r="U775" s="515">
        <f t="shared" si="596"/>
        <v>17089843.75</v>
      </c>
      <c r="V775" s="515">
        <f t="shared" si="596"/>
        <v>-92773437.5</v>
      </c>
      <c r="W775" s="515">
        <f t="shared" si="596"/>
        <v>-78125000</v>
      </c>
      <c r="X775" s="515">
        <f t="shared" si="596"/>
        <v>39062500</v>
      </c>
      <c r="Y775" s="515">
        <f t="shared" si="596"/>
        <v>39062500</v>
      </c>
      <c r="Z775" s="515">
        <f t="shared" si="596"/>
        <v>-4882812.5</v>
      </c>
      <c r="AA775" s="515">
        <f t="shared" si="596"/>
        <v>2583007812.5</v>
      </c>
      <c r="AB775" s="515">
        <f t="shared" si="596"/>
        <v>2585449218.75</v>
      </c>
      <c r="AC775" s="515">
        <f t="shared" si="596"/>
        <v>2585449218.75</v>
      </c>
      <c r="AD775" s="515">
        <f t="shared" si="596"/>
        <v>2585449218.75</v>
      </c>
      <c r="AE775" s="515">
        <f t="shared" si="596"/>
        <v>2583007812.5</v>
      </c>
      <c r="AF775" s="515">
        <f t="shared" si="596"/>
        <v>2585449218.75</v>
      </c>
      <c r="AG775" s="86"/>
    </row>
    <row r="776" spans="1:33" s="221" customFormat="1" x14ac:dyDescent="0.2">
      <c r="A776" s="4" t="s">
        <v>99</v>
      </c>
      <c r="B776" s="237"/>
      <c r="C776" s="515">
        <f>IF(C$729&gt;C773,C770,C772)</f>
        <v>112304687.5</v>
      </c>
      <c r="D776" s="515">
        <f t="shared" ref="D776:AF776" si="597">IF(D$729&gt;D773,D770,D772)</f>
        <v>-3183593750</v>
      </c>
      <c r="E776" s="515">
        <f t="shared" si="597"/>
        <v>-173339843.75</v>
      </c>
      <c r="F776" s="515">
        <f t="shared" si="597"/>
        <v>148925781.25</v>
      </c>
      <c r="G776" s="515">
        <f t="shared" si="597"/>
        <v>-1103515625</v>
      </c>
      <c r="H776" s="515">
        <f t="shared" si="597"/>
        <v>97656250</v>
      </c>
      <c r="I776" s="515">
        <f t="shared" si="597"/>
        <v>-48828125</v>
      </c>
      <c r="J776" s="515">
        <f t="shared" si="597"/>
        <v>405273437.5</v>
      </c>
      <c r="K776" s="515">
        <f t="shared" si="597"/>
        <v>46386718.75</v>
      </c>
      <c r="L776" s="515">
        <f t="shared" si="597"/>
        <v>46386718.75</v>
      </c>
      <c r="M776" s="515">
        <f t="shared" si="597"/>
        <v>46386718.75</v>
      </c>
      <c r="N776" s="515">
        <f t="shared" si="597"/>
        <v>46386718.75</v>
      </c>
      <c r="O776" s="515">
        <f t="shared" si="597"/>
        <v>46386718.75</v>
      </c>
      <c r="P776" s="515">
        <f t="shared" si="597"/>
        <v>39062500</v>
      </c>
      <c r="Q776" s="515">
        <f t="shared" si="597"/>
        <v>9765625</v>
      </c>
      <c r="R776" s="515">
        <f t="shared" si="597"/>
        <v>-41503906.25</v>
      </c>
      <c r="S776" s="515">
        <f t="shared" si="597"/>
        <v>-26855468.75</v>
      </c>
      <c r="T776" s="515">
        <f t="shared" si="597"/>
        <v>-4882812.5</v>
      </c>
      <c r="U776" s="515">
        <f t="shared" si="597"/>
        <v>9765625</v>
      </c>
      <c r="V776" s="515">
        <f t="shared" si="597"/>
        <v>-100097656.25</v>
      </c>
      <c r="W776" s="515">
        <f t="shared" si="597"/>
        <v>-85449218.75</v>
      </c>
      <c r="X776" s="515">
        <f t="shared" si="597"/>
        <v>31738281.25</v>
      </c>
      <c r="Y776" s="515">
        <f t="shared" si="597"/>
        <v>31738281.25</v>
      </c>
      <c r="Z776" s="515">
        <f t="shared" si="597"/>
        <v>-12207031.25</v>
      </c>
      <c r="AA776" s="515">
        <f t="shared" si="597"/>
        <v>2580566406.25</v>
      </c>
      <c r="AB776" s="515">
        <f t="shared" si="597"/>
        <v>2583007812.5</v>
      </c>
      <c r="AC776" s="515">
        <f t="shared" si="597"/>
        <v>2583007812.5</v>
      </c>
      <c r="AD776" s="515">
        <f t="shared" si="597"/>
        <v>2583007812.5</v>
      </c>
      <c r="AE776" s="515">
        <f t="shared" si="597"/>
        <v>2580566406.25</v>
      </c>
      <c r="AF776" s="515">
        <f t="shared" si="597"/>
        <v>2583007812.5</v>
      </c>
      <c r="AG776" s="86"/>
    </row>
    <row r="777" spans="1:33" s="220" customFormat="1" x14ac:dyDescent="0.2">
      <c r="A777" s="4" t="s">
        <v>100</v>
      </c>
      <c r="B777" s="236"/>
      <c r="C777" s="30">
        <f t="shared" ref="C777:AF777" si="598">(1/C245)*((EXP(C$241*C774)-1)/(EXP(C$242*C774)-1))</f>
        <v>4.8340507183074588E-2</v>
      </c>
      <c r="D777" s="30">
        <f t="shared" si="598"/>
        <v>1.7813185481042021E-2</v>
      </c>
      <c r="E777" s="30">
        <f t="shared" si="598"/>
        <v>4.2964367329047848E-2</v>
      </c>
      <c r="F777" s="30">
        <f t="shared" si="598"/>
        <v>4.9099559660479276E-2</v>
      </c>
      <c r="G777" s="30">
        <f t="shared" si="598"/>
        <v>3.0586152205947431E-2</v>
      </c>
      <c r="H777" s="30">
        <f t="shared" si="598"/>
        <v>4.8041602939084951E-2</v>
      </c>
      <c r="I777" s="30">
        <f t="shared" si="598"/>
        <v>4.519436220003447E-2</v>
      </c>
      <c r="J777" s="30">
        <f t="shared" si="598"/>
        <v>5.491921034810697E-2</v>
      </c>
      <c r="K777" s="30">
        <f t="shared" si="598"/>
        <v>4.7016177247536692E-2</v>
      </c>
      <c r="L777" s="30">
        <f t="shared" si="598"/>
        <v>4.7016177247536692E-2</v>
      </c>
      <c r="M777" s="30">
        <f t="shared" si="598"/>
        <v>4.7016177247536692E-2</v>
      </c>
      <c r="N777" s="30">
        <f t="shared" si="598"/>
        <v>4.7016177247536692E-2</v>
      </c>
      <c r="O777" s="30">
        <f t="shared" si="598"/>
        <v>4.7016177247536692E-2</v>
      </c>
      <c r="P777" s="30">
        <f t="shared" si="598"/>
        <v>4.6872278172761149E-2</v>
      </c>
      <c r="Q777" s="30">
        <f t="shared" si="598"/>
        <v>4.6303030315905526E-2</v>
      </c>
      <c r="R777" s="30">
        <f t="shared" si="598"/>
        <v>4.5330809952873377E-2</v>
      </c>
      <c r="S777" s="30">
        <f t="shared" si="598"/>
        <v>4.5605521031634282E-2</v>
      </c>
      <c r="T777" s="30">
        <f t="shared" si="598"/>
        <v>4.6022171702363834E-2</v>
      </c>
      <c r="U777" s="30">
        <f t="shared" si="598"/>
        <v>4.6303030315905526E-2</v>
      </c>
      <c r="V777" s="30">
        <f t="shared" si="598"/>
        <v>4.4255897282865858E-2</v>
      </c>
      <c r="W777" s="30">
        <f t="shared" si="598"/>
        <v>4.4521082707789865E-2</v>
      </c>
      <c r="X777" s="30">
        <f t="shared" si="598"/>
        <v>4.6729017087850905E-2</v>
      </c>
      <c r="Y777" s="30">
        <f t="shared" si="598"/>
        <v>4.6729017087850905E-2</v>
      </c>
      <c r="Z777" s="30">
        <f t="shared" si="598"/>
        <v>4.5882672901345019E-2</v>
      </c>
      <c r="AA777" s="30">
        <f t="shared" si="598"/>
        <v>0.17247302041661927</v>
      </c>
      <c r="AB777" s="30">
        <f t="shared" si="598"/>
        <v>0.1727254061793127</v>
      </c>
      <c r="AC777" s="30">
        <f t="shared" si="598"/>
        <v>0.1727254061793127</v>
      </c>
      <c r="AD777" s="30">
        <f t="shared" si="598"/>
        <v>0.1727254061793127</v>
      </c>
      <c r="AE777" s="30">
        <f t="shared" si="598"/>
        <v>0.17247302041661927</v>
      </c>
      <c r="AF777" s="30">
        <f t="shared" si="598"/>
        <v>0.1727254061793127</v>
      </c>
      <c r="AG777" s="26"/>
    </row>
    <row r="778" spans="1:33" s="221" customFormat="1" x14ac:dyDescent="0.2">
      <c r="A778" s="4" t="s">
        <v>97</v>
      </c>
      <c r="B778" s="237"/>
      <c r="C778" s="515">
        <f>IF(C$729&gt;C777,C774+((C775-C774)/2),C774-((C774-C776)/2))</f>
        <v>114135742.1875</v>
      </c>
      <c r="D778" s="515">
        <f t="shared" ref="D778:AF778" si="599">IF(D$729&gt;D777,D774+((D775-D774)/2),D774-((D774-D776)/2))</f>
        <v>-3178100585.9375</v>
      </c>
      <c r="E778" s="515">
        <f t="shared" si="599"/>
        <v>-167846679.6875</v>
      </c>
      <c r="F778" s="515">
        <f t="shared" si="599"/>
        <v>150756835.9375</v>
      </c>
      <c r="G778" s="515">
        <f t="shared" si="599"/>
        <v>-1101684570.3125</v>
      </c>
      <c r="H778" s="515">
        <f t="shared" si="599"/>
        <v>103149414.0625</v>
      </c>
      <c r="I778" s="515">
        <f t="shared" si="599"/>
        <v>-46997070.3125</v>
      </c>
      <c r="J778" s="515">
        <f t="shared" si="599"/>
        <v>410766601.5625</v>
      </c>
      <c r="K778" s="515">
        <f t="shared" si="599"/>
        <v>51879882.8125</v>
      </c>
      <c r="L778" s="515">
        <f t="shared" si="599"/>
        <v>51879882.8125</v>
      </c>
      <c r="M778" s="515">
        <f t="shared" si="599"/>
        <v>51879882.8125</v>
      </c>
      <c r="N778" s="515">
        <f t="shared" si="599"/>
        <v>48217773.4375</v>
      </c>
      <c r="O778" s="515">
        <f t="shared" si="599"/>
        <v>48217773.4375</v>
      </c>
      <c r="P778" s="515">
        <f t="shared" si="599"/>
        <v>40893554.6875</v>
      </c>
      <c r="Q778" s="515">
        <f t="shared" si="599"/>
        <v>15258789.0625</v>
      </c>
      <c r="R778" s="515">
        <f t="shared" si="599"/>
        <v>-39672851.5625</v>
      </c>
      <c r="S778" s="515">
        <f t="shared" si="599"/>
        <v>-21362304.6875</v>
      </c>
      <c r="T778" s="515">
        <f t="shared" si="599"/>
        <v>-3051757.8125</v>
      </c>
      <c r="U778" s="515">
        <f t="shared" si="599"/>
        <v>15258789.0625</v>
      </c>
      <c r="V778" s="515">
        <f t="shared" si="599"/>
        <v>-94604492.1875</v>
      </c>
      <c r="W778" s="515">
        <f t="shared" si="599"/>
        <v>-83618164.0625</v>
      </c>
      <c r="X778" s="515">
        <f t="shared" si="599"/>
        <v>33569335.9375</v>
      </c>
      <c r="Y778" s="515">
        <f t="shared" si="599"/>
        <v>37231445.3125</v>
      </c>
      <c r="Z778" s="515">
        <f t="shared" si="599"/>
        <v>-6713867.1875</v>
      </c>
      <c r="AA778" s="515">
        <f t="shared" si="599"/>
        <v>2582397460.9375</v>
      </c>
      <c r="AB778" s="515">
        <f t="shared" si="599"/>
        <v>2583618164.0625</v>
      </c>
      <c r="AC778" s="515">
        <f t="shared" si="599"/>
        <v>2583618164.0625</v>
      </c>
      <c r="AD778" s="515">
        <f t="shared" si="599"/>
        <v>2583618164.0625</v>
      </c>
      <c r="AE778" s="515">
        <f t="shared" si="599"/>
        <v>2581176757.8125</v>
      </c>
      <c r="AF778" s="515">
        <f t="shared" si="599"/>
        <v>2583618164.0625</v>
      </c>
      <c r="AG778" s="86"/>
    </row>
    <row r="779" spans="1:33" s="221" customFormat="1" x14ac:dyDescent="0.2">
      <c r="A779" s="4" t="s">
        <v>98</v>
      </c>
      <c r="B779" s="237"/>
      <c r="C779" s="515">
        <f>IF(C$729&lt;C777,C774,C775)</f>
        <v>115966796.875</v>
      </c>
      <c r="D779" s="515">
        <f t="shared" ref="D779:AF779" si="600">IF(D$729&lt;D777,D774,D775)</f>
        <v>-3176269531.25</v>
      </c>
      <c r="E779" s="515">
        <f t="shared" si="600"/>
        <v>-166015625</v>
      </c>
      <c r="F779" s="515">
        <f t="shared" si="600"/>
        <v>152587890.625</v>
      </c>
      <c r="G779" s="515">
        <f t="shared" si="600"/>
        <v>-1099853515.625</v>
      </c>
      <c r="H779" s="515">
        <f t="shared" si="600"/>
        <v>104980468.75</v>
      </c>
      <c r="I779" s="515">
        <f t="shared" si="600"/>
        <v>-45166015.625</v>
      </c>
      <c r="J779" s="515">
        <f t="shared" si="600"/>
        <v>412597656.25</v>
      </c>
      <c r="K779" s="515">
        <f t="shared" si="600"/>
        <v>53710937.5</v>
      </c>
      <c r="L779" s="515">
        <f t="shared" si="600"/>
        <v>53710937.5</v>
      </c>
      <c r="M779" s="515">
        <f t="shared" si="600"/>
        <v>53710937.5</v>
      </c>
      <c r="N779" s="515">
        <f t="shared" si="600"/>
        <v>50048828.125</v>
      </c>
      <c r="O779" s="515">
        <f t="shared" si="600"/>
        <v>50048828.125</v>
      </c>
      <c r="P779" s="515">
        <f t="shared" si="600"/>
        <v>42724609.375</v>
      </c>
      <c r="Q779" s="515">
        <f t="shared" si="600"/>
        <v>17089843.75</v>
      </c>
      <c r="R779" s="515">
        <f t="shared" si="600"/>
        <v>-37841796.875</v>
      </c>
      <c r="S779" s="515">
        <f t="shared" si="600"/>
        <v>-19531250</v>
      </c>
      <c r="T779" s="515">
        <f t="shared" si="600"/>
        <v>-1220703.125</v>
      </c>
      <c r="U779" s="515">
        <f t="shared" si="600"/>
        <v>17089843.75</v>
      </c>
      <c r="V779" s="515">
        <f t="shared" si="600"/>
        <v>-92773437.5</v>
      </c>
      <c r="W779" s="515">
        <f t="shared" si="600"/>
        <v>-81787109.375</v>
      </c>
      <c r="X779" s="515">
        <f t="shared" si="600"/>
        <v>35400390.625</v>
      </c>
      <c r="Y779" s="515">
        <f t="shared" si="600"/>
        <v>39062500</v>
      </c>
      <c r="Z779" s="515">
        <f t="shared" si="600"/>
        <v>-4882812.5</v>
      </c>
      <c r="AA779" s="515">
        <f t="shared" si="600"/>
        <v>2583007812.5</v>
      </c>
      <c r="AB779" s="515">
        <f t="shared" si="600"/>
        <v>2584228515.625</v>
      </c>
      <c r="AC779" s="515">
        <f t="shared" si="600"/>
        <v>2584228515.625</v>
      </c>
      <c r="AD779" s="515">
        <f t="shared" si="600"/>
        <v>2584228515.625</v>
      </c>
      <c r="AE779" s="515">
        <f t="shared" si="600"/>
        <v>2581787109.375</v>
      </c>
      <c r="AF779" s="515">
        <f t="shared" si="600"/>
        <v>2584228515.625</v>
      </c>
      <c r="AG779" s="86"/>
    </row>
    <row r="780" spans="1:33" s="221" customFormat="1" x14ac:dyDescent="0.2">
      <c r="A780" s="4" t="s">
        <v>99</v>
      </c>
      <c r="B780" s="237"/>
      <c r="C780" s="515">
        <f>IF(C$729&gt;C777,C774,C776)</f>
        <v>112304687.5</v>
      </c>
      <c r="D780" s="515">
        <f t="shared" ref="D780:AF780" si="601">IF(D$729&gt;D777,D774,D776)</f>
        <v>-3179931640.625</v>
      </c>
      <c r="E780" s="515">
        <f t="shared" si="601"/>
        <v>-169677734.375</v>
      </c>
      <c r="F780" s="515">
        <f t="shared" si="601"/>
        <v>148925781.25</v>
      </c>
      <c r="G780" s="515">
        <f t="shared" si="601"/>
        <v>-1103515625</v>
      </c>
      <c r="H780" s="515">
        <f t="shared" si="601"/>
        <v>101318359.375</v>
      </c>
      <c r="I780" s="515">
        <f t="shared" si="601"/>
        <v>-48828125</v>
      </c>
      <c r="J780" s="515">
        <f t="shared" si="601"/>
        <v>408935546.875</v>
      </c>
      <c r="K780" s="515">
        <f t="shared" si="601"/>
        <v>50048828.125</v>
      </c>
      <c r="L780" s="515">
        <f t="shared" si="601"/>
        <v>50048828.125</v>
      </c>
      <c r="M780" s="515">
        <f t="shared" si="601"/>
        <v>50048828.125</v>
      </c>
      <c r="N780" s="515">
        <f t="shared" si="601"/>
        <v>46386718.75</v>
      </c>
      <c r="O780" s="515">
        <f t="shared" si="601"/>
        <v>46386718.75</v>
      </c>
      <c r="P780" s="515">
        <f t="shared" si="601"/>
        <v>39062500</v>
      </c>
      <c r="Q780" s="515">
        <f t="shared" si="601"/>
        <v>13427734.375</v>
      </c>
      <c r="R780" s="515">
        <f t="shared" si="601"/>
        <v>-41503906.25</v>
      </c>
      <c r="S780" s="515">
        <f t="shared" si="601"/>
        <v>-23193359.375</v>
      </c>
      <c r="T780" s="515">
        <f t="shared" si="601"/>
        <v>-4882812.5</v>
      </c>
      <c r="U780" s="515">
        <f t="shared" si="601"/>
        <v>13427734.375</v>
      </c>
      <c r="V780" s="515">
        <f t="shared" si="601"/>
        <v>-96435546.875</v>
      </c>
      <c r="W780" s="515">
        <f t="shared" si="601"/>
        <v>-85449218.75</v>
      </c>
      <c r="X780" s="515">
        <f t="shared" si="601"/>
        <v>31738281.25</v>
      </c>
      <c r="Y780" s="515">
        <f t="shared" si="601"/>
        <v>35400390.625</v>
      </c>
      <c r="Z780" s="515">
        <f t="shared" si="601"/>
        <v>-8544921.875</v>
      </c>
      <c r="AA780" s="515">
        <f t="shared" si="601"/>
        <v>2581787109.375</v>
      </c>
      <c r="AB780" s="515">
        <f t="shared" si="601"/>
        <v>2583007812.5</v>
      </c>
      <c r="AC780" s="515">
        <f t="shared" si="601"/>
        <v>2583007812.5</v>
      </c>
      <c r="AD780" s="515">
        <f t="shared" si="601"/>
        <v>2583007812.5</v>
      </c>
      <c r="AE780" s="515">
        <f t="shared" si="601"/>
        <v>2580566406.25</v>
      </c>
      <c r="AF780" s="515">
        <f t="shared" si="601"/>
        <v>2583007812.5</v>
      </c>
      <c r="AG780" s="86"/>
    </row>
    <row r="781" spans="1:33" s="220" customFormat="1" x14ac:dyDescent="0.2">
      <c r="A781" s="4" t="s">
        <v>100</v>
      </c>
      <c r="B781" s="236"/>
      <c r="C781" s="30">
        <f t="shared" ref="C781:AF781" si="602">(1/C245)*((EXP(C$241*C778)-1)/(EXP(C$242*C778)-1))</f>
        <v>4.8302998035017829E-2</v>
      </c>
      <c r="D781" s="30">
        <f t="shared" si="602"/>
        <v>1.7819656738507949E-2</v>
      </c>
      <c r="E781" s="30">
        <f t="shared" si="602"/>
        <v>4.2995970231220267E-2</v>
      </c>
      <c r="F781" s="30">
        <f t="shared" si="602"/>
        <v>4.9061202456073413E-2</v>
      </c>
      <c r="G781" s="30">
        <f t="shared" si="602"/>
        <v>3.0567687817265078E-2</v>
      </c>
      <c r="H781" s="30">
        <f t="shared" si="602"/>
        <v>4.8078820214711576E-2</v>
      </c>
      <c r="I781" s="30">
        <f t="shared" si="602"/>
        <v>4.5160344317929473E-2</v>
      </c>
      <c r="J781" s="30">
        <f t="shared" si="602"/>
        <v>5.4964186982465572E-2</v>
      </c>
      <c r="K781" s="30">
        <f t="shared" si="602"/>
        <v>4.7052252073330754E-2</v>
      </c>
      <c r="L781" s="30">
        <f t="shared" si="602"/>
        <v>4.7052252073330754E-2</v>
      </c>
      <c r="M781" s="30">
        <f t="shared" si="602"/>
        <v>4.7052252073330754E-2</v>
      </c>
      <c r="N781" s="30">
        <f t="shared" si="602"/>
        <v>4.698014249418718E-2</v>
      </c>
      <c r="O781" s="30">
        <f t="shared" si="602"/>
        <v>4.698014249418718E-2</v>
      </c>
      <c r="P781" s="30">
        <f t="shared" si="602"/>
        <v>4.683640321346861E-2</v>
      </c>
      <c r="Q781" s="30">
        <f t="shared" si="602"/>
        <v>4.6338313049951597E-2</v>
      </c>
      <c r="R781" s="30">
        <f t="shared" si="602"/>
        <v>4.5296641488046636E-2</v>
      </c>
      <c r="S781" s="30">
        <f t="shared" si="602"/>
        <v>4.5640031039637631E-2</v>
      </c>
      <c r="T781" s="30">
        <f t="shared" si="602"/>
        <v>4.5987239061142916E-2</v>
      </c>
      <c r="U781" s="30">
        <f t="shared" si="602"/>
        <v>4.6338313049951597E-2</v>
      </c>
      <c r="V781" s="30">
        <f t="shared" si="602"/>
        <v>4.4288917937477627E-2</v>
      </c>
      <c r="W781" s="30">
        <f t="shared" si="602"/>
        <v>4.4487806691548649E-2</v>
      </c>
      <c r="X781" s="30">
        <f t="shared" si="602"/>
        <v>4.6693301132572536E-2</v>
      </c>
      <c r="Y781" s="30">
        <f t="shared" si="602"/>
        <v>4.6764772720291892E-2</v>
      </c>
      <c r="Z781" s="30">
        <f t="shared" si="602"/>
        <v>4.5917489708380423E-2</v>
      </c>
      <c r="AA781" s="30">
        <f t="shared" si="602"/>
        <v>0.17253607665638168</v>
      </c>
      <c r="AB781" s="30">
        <f t="shared" si="602"/>
        <v>0.17266226952568975</v>
      </c>
      <c r="AC781" s="30">
        <f t="shared" si="602"/>
        <v>0.17266226952568975</v>
      </c>
      <c r="AD781" s="30">
        <f t="shared" si="602"/>
        <v>0.17266226952568975</v>
      </c>
      <c r="AE781" s="30">
        <f t="shared" si="602"/>
        <v>0.17240999095740919</v>
      </c>
      <c r="AF781" s="30">
        <f t="shared" si="602"/>
        <v>0.17266226952568975</v>
      </c>
      <c r="AG781" s="26"/>
    </row>
    <row r="782" spans="1:33" s="221" customFormat="1" x14ac:dyDescent="0.2">
      <c r="A782" s="4" t="s">
        <v>97</v>
      </c>
      <c r="B782" s="237"/>
      <c r="C782" s="515">
        <f>IF(C$729&gt;C781,C778+((C779-C778)/2),C778-((C778-C780)/2))</f>
        <v>113220214.84375</v>
      </c>
      <c r="D782" s="515">
        <f t="shared" ref="D782:AF782" si="603">IF(D$729&gt;D781,D778+((D779-D778)/2),D778-((D778-D780)/2))</f>
        <v>-3179016113.28125</v>
      </c>
      <c r="E782" s="515">
        <f t="shared" si="603"/>
        <v>-168762207.03125</v>
      </c>
      <c r="F782" s="515">
        <f t="shared" si="603"/>
        <v>151672363.28125</v>
      </c>
      <c r="G782" s="515">
        <f t="shared" si="603"/>
        <v>-1102600097.65625</v>
      </c>
      <c r="H782" s="515">
        <f t="shared" si="603"/>
        <v>104064941.40625</v>
      </c>
      <c r="I782" s="515">
        <f t="shared" si="603"/>
        <v>-47912597.65625</v>
      </c>
      <c r="J782" s="515">
        <f t="shared" si="603"/>
        <v>409851074.21875</v>
      </c>
      <c r="K782" s="515">
        <f t="shared" si="603"/>
        <v>50964355.46875</v>
      </c>
      <c r="L782" s="515">
        <f t="shared" si="603"/>
        <v>50964355.46875</v>
      </c>
      <c r="M782" s="515">
        <f t="shared" si="603"/>
        <v>50964355.46875</v>
      </c>
      <c r="N782" s="515">
        <f t="shared" si="603"/>
        <v>49133300.78125</v>
      </c>
      <c r="O782" s="515">
        <f t="shared" si="603"/>
        <v>47302246.09375</v>
      </c>
      <c r="P782" s="515">
        <f t="shared" si="603"/>
        <v>39978027.34375</v>
      </c>
      <c r="Q782" s="515">
        <f t="shared" si="603"/>
        <v>14343261.71875</v>
      </c>
      <c r="R782" s="515">
        <f t="shared" si="603"/>
        <v>-38757324.21875</v>
      </c>
      <c r="S782" s="515">
        <f t="shared" si="603"/>
        <v>-22277832.03125</v>
      </c>
      <c r="T782" s="515">
        <f t="shared" si="603"/>
        <v>-2136230.46875</v>
      </c>
      <c r="U782" s="515">
        <f t="shared" si="603"/>
        <v>14343261.71875</v>
      </c>
      <c r="V782" s="515">
        <f t="shared" si="603"/>
        <v>-93688964.84375</v>
      </c>
      <c r="W782" s="515">
        <f t="shared" si="603"/>
        <v>-82702636.71875</v>
      </c>
      <c r="X782" s="515">
        <f t="shared" si="603"/>
        <v>34484863.28125</v>
      </c>
      <c r="Y782" s="515">
        <f t="shared" si="603"/>
        <v>38146972.65625</v>
      </c>
      <c r="Z782" s="515">
        <f t="shared" si="603"/>
        <v>-7629394.53125</v>
      </c>
      <c r="AA782" s="515">
        <f t="shared" si="603"/>
        <v>2582092285.15625</v>
      </c>
      <c r="AB782" s="515">
        <f t="shared" si="603"/>
        <v>2583312988.28125</v>
      </c>
      <c r="AC782" s="515">
        <f t="shared" si="603"/>
        <v>2583312988.28125</v>
      </c>
      <c r="AD782" s="515">
        <f t="shared" si="603"/>
        <v>2583923339.84375</v>
      </c>
      <c r="AE782" s="515">
        <f t="shared" si="603"/>
        <v>2581481933.59375</v>
      </c>
      <c r="AF782" s="515">
        <f t="shared" si="603"/>
        <v>2583923339.84375</v>
      </c>
      <c r="AG782" s="86"/>
    </row>
    <row r="783" spans="1:33" s="221" customFormat="1" x14ac:dyDescent="0.2">
      <c r="A783" s="4" t="s">
        <v>98</v>
      </c>
      <c r="B783" s="237"/>
      <c r="C783" s="515">
        <f>IF(C$729&lt;C781,C778,C779)</f>
        <v>114135742.1875</v>
      </c>
      <c r="D783" s="515">
        <f t="shared" ref="D783:AF783" si="604">IF(D$729&lt;D781,D778,D779)</f>
        <v>-3178100585.9375</v>
      </c>
      <c r="E783" s="515">
        <f t="shared" si="604"/>
        <v>-167846679.6875</v>
      </c>
      <c r="F783" s="515">
        <f t="shared" si="604"/>
        <v>152587890.625</v>
      </c>
      <c r="G783" s="515">
        <f t="shared" si="604"/>
        <v>-1101684570.3125</v>
      </c>
      <c r="H783" s="515">
        <f t="shared" si="604"/>
        <v>104980468.75</v>
      </c>
      <c r="I783" s="515">
        <f t="shared" si="604"/>
        <v>-46997070.3125</v>
      </c>
      <c r="J783" s="515">
        <f t="shared" si="604"/>
        <v>410766601.5625</v>
      </c>
      <c r="K783" s="515">
        <f t="shared" si="604"/>
        <v>51879882.8125</v>
      </c>
      <c r="L783" s="515">
        <f t="shared" si="604"/>
        <v>51879882.8125</v>
      </c>
      <c r="M783" s="515">
        <f t="shared" si="604"/>
        <v>51879882.8125</v>
      </c>
      <c r="N783" s="515">
        <f t="shared" si="604"/>
        <v>50048828.125</v>
      </c>
      <c r="O783" s="515">
        <f t="shared" si="604"/>
        <v>48217773.4375</v>
      </c>
      <c r="P783" s="515">
        <f t="shared" si="604"/>
        <v>40893554.6875</v>
      </c>
      <c r="Q783" s="515">
        <f t="shared" si="604"/>
        <v>15258789.0625</v>
      </c>
      <c r="R783" s="515">
        <f t="shared" si="604"/>
        <v>-37841796.875</v>
      </c>
      <c r="S783" s="515">
        <f t="shared" si="604"/>
        <v>-21362304.6875</v>
      </c>
      <c r="T783" s="515">
        <f t="shared" si="604"/>
        <v>-1220703.125</v>
      </c>
      <c r="U783" s="515">
        <f t="shared" si="604"/>
        <v>15258789.0625</v>
      </c>
      <c r="V783" s="515">
        <f t="shared" si="604"/>
        <v>-92773437.5</v>
      </c>
      <c r="W783" s="515">
        <f t="shared" si="604"/>
        <v>-81787109.375</v>
      </c>
      <c r="X783" s="515">
        <f t="shared" si="604"/>
        <v>35400390.625</v>
      </c>
      <c r="Y783" s="515">
        <f t="shared" si="604"/>
        <v>39062500</v>
      </c>
      <c r="Z783" s="515">
        <f t="shared" si="604"/>
        <v>-6713867.1875</v>
      </c>
      <c r="AA783" s="515">
        <f t="shared" si="604"/>
        <v>2582397460.9375</v>
      </c>
      <c r="AB783" s="515">
        <f t="shared" si="604"/>
        <v>2583618164.0625</v>
      </c>
      <c r="AC783" s="515">
        <f t="shared" si="604"/>
        <v>2583618164.0625</v>
      </c>
      <c r="AD783" s="515">
        <f t="shared" si="604"/>
        <v>2584228515.625</v>
      </c>
      <c r="AE783" s="515">
        <f t="shared" si="604"/>
        <v>2581787109.375</v>
      </c>
      <c r="AF783" s="515">
        <f t="shared" si="604"/>
        <v>2584228515.625</v>
      </c>
      <c r="AG783" s="86"/>
    </row>
    <row r="784" spans="1:33" s="221" customFormat="1" x14ac:dyDescent="0.2">
      <c r="A784" s="4" t="s">
        <v>99</v>
      </c>
      <c r="B784" s="237"/>
      <c r="C784" s="515">
        <f>IF(C$729&gt;C781,C778,C780)</f>
        <v>112304687.5</v>
      </c>
      <c r="D784" s="515">
        <f t="shared" ref="D784:AF784" si="605">IF(D$729&gt;D781,D778,D780)</f>
        <v>-3179931640.625</v>
      </c>
      <c r="E784" s="515">
        <f t="shared" si="605"/>
        <v>-169677734.375</v>
      </c>
      <c r="F784" s="515">
        <f t="shared" si="605"/>
        <v>150756835.9375</v>
      </c>
      <c r="G784" s="515">
        <f t="shared" si="605"/>
        <v>-1103515625</v>
      </c>
      <c r="H784" s="515">
        <f t="shared" si="605"/>
        <v>103149414.0625</v>
      </c>
      <c r="I784" s="515">
        <f t="shared" si="605"/>
        <v>-48828125</v>
      </c>
      <c r="J784" s="515">
        <f t="shared" si="605"/>
        <v>408935546.875</v>
      </c>
      <c r="K784" s="515">
        <f t="shared" si="605"/>
        <v>50048828.125</v>
      </c>
      <c r="L784" s="515">
        <f t="shared" si="605"/>
        <v>50048828.125</v>
      </c>
      <c r="M784" s="515">
        <f t="shared" si="605"/>
        <v>50048828.125</v>
      </c>
      <c r="N784" s="515">
        <f t="shared" si="605"/>
        <v>48217773.4375</v>
      </c>
      <c r="O784" s="515">
        <f t="shared" si="605"/>
        <v>46386718.75</v>
      </c>
      <c r="P784" s="515">
        <f t="shared" si="605"/>
        <v>39062500</v>
      </c>
      <c r="Q784" s="515">
        <f t="shared" si="605"/>
        <v>13427734.375</v>
      </c>
      <c r="R784" s="515">
        <f t="shared" si="605"/>
        <v>-39672851.5625</v>
      </c>
      <c r="S784" s="515">
        <f t="shared" si="605"/>
        <v>-23193359.375</v>
      </c>
      <c r="T784" s="515">
        <f t="shared" si="605"/>
        <v>-3051757.8125</v>
      </c>
      <c r="U784" s="515">
        <f t="shared" si="605"/>
        <v>13427734.375</v>
      </c>
      <c r="V784" s="515">
        <f t="shared" si="605"/>
        <v>-94604492.1875</v>
      </c>
      <c r="W784" s="515">
        <f t="shared" si="605"/>
        <v>-83618164.0625</v>
      </c>
      <c r="X784" s="515">
        <f t="shared" si="605"/>
        <v>33569335.9375</v>
      </c>
      <c r="Y784" s="515">
        <f t="shared" si="605"/>
        <v>37231445.3125</v>
      </c>
      <c r="Z784" s="515">
        <f t="shared" si="605"/>
        <v>-8544921.875</v>
      </c>
      <c r="AA784" s="515">
        <f t="shared" si="605"/>
        <v>2581787109.375</v>
      </c>
      <c r="AB784" s="515">
        <f t="shared" si="605"/>
        <v>2583007812.5</v>
      </c>
      <c r="AC784" s="515">
        <f t="shared" si="605"/>
        <v>2583007812.5</v>
      </c>
      <c r="AD784" s="515">
        <f t="shared" si="605"/>
        <v>2583618164.0625</v>
      </c>
      <c r="AE784" s="515">
        <f t="shared" si="605"/>
        <v>2581176757.8125</v>
      </c>
      <c r="AF784" s="515">
        <f t="shared" si="605"/>
        <v>2583618164.0625</v>
      </c>
      <c r="AG784" s="86"/>
    </row>
    <row r="785" spans="1:33" s="220" customFormat="1" x14ac:dyDescent="0.2">
      <c r="A785" s="4" t="s">
        <v>100</v>
      </c>
      <c r="B785" s="236"/>
      <c r="C785" s="30">
        <f t="shared" ref="C785:AF785" si="606">(1/C245)*((EXP(C$241*C782)-1)/(EXP(C$242*C782)-1))</f>
        <v>4.828425915861588E-2</v>
      </c>
      <c r="D785" s="30">
        <f t="shared" si="606"/>
        <v>1.7816420437825577E-2</v>
      </c>
      <c r="E785" s="30">
        <f t="shared" si="606"/>
        <v>4.2980164457672082E-2</v>
      </c>
      <c r="F785" s="30">
        <f t="shared" si="606"/>
        <v>4.90803756917019E-2</v>
      </c>
      <c r="G785" s="30">
        <f t="shared" si="606"/>
        <v>3.0558462657363568E-2</v>
      </c>
      <c r="H785" s="30">
        <f t="shared" si="606"/>
        <v>4.8097444427097069E-2</v>
      </c>
      <c r="I785" s="30">
        <f t="shared" si="606"/>
        <v>4.5143349453386557E-2</v>
      </c>
      <c r="J785" s="30">
        <f t="shared" si="606"/>
        <v>5.4941692263024589E-2</v>
      </c>
      <c r="K785" s="30">
        <f t="shared" si="606"/>
        <v>4.7034209648272582E-2</v>
      </c>
      <c r="L785" s="30">
        <f t="shared" si="606"/>
        <v>4.7034209648272582E-2</v>
      </c>
      <c r="M785" s="30">
        <f t="shared" si="606"/>
        <v>4.7034209648272582E-2</v>
      </c>
      <c r="N785" s="30">
        <f t="shared" si="606"/>
        <v>4.6998154864910262E-2</v>
      </c>
      <c r="O785" s="30">
        <f t="shared" si="606"/>
        <v>4.6962140129165227E-2</v>
      </c>
      <c r="P785" s="30">
        <f t="shared" si="606"/>
        <v>4.6818480671245243E-2</v>
      </c>
      <c r="Q785" s="30">
        <f t="shared" si="606"/>
        <v>4.6320666793405595E-2</v>
      </c>
      <c r="R785" s="30">
        <f t="shared" si="606"/>
        <v>4.531372100312131E-2</v>
      </c>
      <c r="S785" s="30">
        <f t="shared" si="606"/>
        <v>4.5622771265560649E-2</v>
      </c>
      <c r="T785" s="30">
        <f t="shared" si="606"/>
        <v>4.6004700546373893E-2</v>
      </c>
      <c r="U785" s="30">
        <f t="shared" si="606"/>
        <v>4.6320666793405595E-2</v>
      </c>
      <c r="V785" s="30">
        <f t="shared" si="606"/>
        <v>4.4305441891563616E-2</v>
      </c>
      <c r="W785" s="30">
        <f t="shared" si="606"/>
        <v>4.4504440119946434E-2</v>
      </c>
      <c r="X785" s="30">
        <f t="shared" si="606"/>
        <v>4.6711154153636789E-2</v>
      </c>
      <c r="Y785" s="30">
        <f t="shared" si="606"/>
        <v>4.6782665430817397E-2</v>
      </c>
      <c r="Z785" s="30">
        <f t="shared" si="606"/>
        <v>4.5900076487387309E-2</v>
      </c>
      <c r="AA785" s="30">
        <f t="shared" si="606"/>
        <v>0.17250454518817965</v>
      </c>
      <c r="AB785" s="30">
        <f t="shared" si="606"/>
        <v>0.17263071125587842</v>
      </c>
      <c r="AC785" s="30">
        <f t="shared" si="606"/>
        <v>0.17263071125587842</v>
      </c>
      <c r="AD785" s="30">
        <f t="shared" si="606"/>
        <v>0.17269383449966591</v>
      </c>
      <c r="AE785" s="30">
        <f t="shared" si="606"/>
        <v>0.17244150234019687</v>
      </c>
      <c r="AF785" s="30">
        <f t="shared" si="606"/>
        <v>0.17269383449966591</v>
      </c>
      <c r="AG785" s="26"/>
    </row>
    <row r="786" spans="1:33" s="221" customFormat="1" x14ac:dyDescent="0.2">
      <c r="A786" s="4" t="s">
        <v>97</v>
      </c>
      <c r="B786" s="237"/>
      <c r="C786" s="515">
        <f>IF(C$729&gt;C785,C782+((C783-C782)/2),C782-((C782-C784)/2))</f>
        <v>112762451.171875</v>
      </c>
      <c r="D786" s="515">
        <f t="shared" ref="D786:AF786" si="607">IF(D$729&gt;D785,D782+((D783-D782)/2),D782-((D782-D784)/2))</f>
        <v>-3179473876.953125</v>
      </c>
      <c r="E786" s="515">
        <f t="shared" si="607"/>
        <v>-169219970.703125</v>
      </c>
      <c r="F786" s="515">
        <f t="shared" si="607"/>
        <v>151214599.609375</v>
      </c>
      <c r="G786" s="515">
        <f t="shared" si="607"/>
        <v>-1102142333.984375</v>
      </c>
      <c r="H786" s="515">
        <f t="shared" si="607"/>
        <v>104522705.078125</v>
      </c>
      <c r="I786" s="515">
        <f t="shared" si="607"/>
        <v>-47454833.984375</v>
      </c>
      <c r="J786" s="515">
        <f t="shared" si="607"/>
        <v>410308837.890625</v>
      </c>
      <c r="K786" s="515">
        <f t="shared" si="607"/>
        <v>51422119.140625</v>
      </c>
      <c r="L786" s="515">
        <f t="shared" si="607"/>
        <v>51422119.140625</v>
      </c>
      <c r="M786" s="515">
        <f t="shared" si="607"/>
        <v>50506591.796875</v>
      </c>
      <c r="N786" s="515">
        <f t="shared" si="607"/>
        <v>48675537.109375</v>
      </c>
      <c r="O786" s="515">
        <f t="shared" si="607"/>
        <v>47760009.765625</v>
      </c>
      <c r="P786" s="515">
        <f t="shared" si="607"/>
        <v>39520263.671875</v>
      </c>
      <c r="Q786" s="515">
        <f t="shared" si="607"/>
        <v>13885498.046875</v>
      </c>
      <c r="R786" s="515">
        <f t="shared" si="607"/>
        <v>-39215087.890625</v>
      </c>
      <c r="S786" s="515">
        <f t="shared" si="607"/>
        <v>-21820068.359375</v>
      </c>
      <c r="T786" s="515">
        <f t="shared" si="607"/>
        <v>-1678466.796875</v>
      </c>
      <c r="U786" s="515">
        <f t="shared" si="607"/>
        <v>14801025.390625</v>
      </c>
      <c r="V786" s="515">
        <f t="shared" si="607"/>
        <v>-94146728.515625</v>
      </c>
      <c r="W786" s="515">
        <f t="shared" si="607"/>
        <v>-82244873.046875</v>
      </c>
      <c r="X786" s="515">
        <f t="shared" si="607"/>
        <v>34942626.953125</v>
      </c>
      <c r="Y786" s="515">
        <f t="shared" si="607"/>
        <v>37689208.984375</v>
      </c>
      <c r="Z786" s="515">
        <f t="shared" si="607"/>
        <v>-8087158.203125</v>
      </c>
      <c r="AA786" s="515">
        <f t="shared" si="607"/>
        <v>2581939697.265625</v>
      </c>
      <c r="AB786" s="515">
        <f t="shared" si="607"/>
        <v>2583465576.171875</v>
      </c>
      <c r="AC786" s="515">
        <f t="shared" si="607"/>
        <v>2583465576.171875</v>
      </c>
      <c r="AD786" s="515">
        <f t="shared" si="607"/>
        <v>2583770751.953125</v>
      </c>
      <c r="AE786" s="515">
        <f t="shared" si="607"/>
        <v>2581634521.484375</v>
      </c>
      <c r="AF786" s="515">
        <f t="shared" si="607"/>
        <v>2583770751.953125</v>
      </c>
      <c r="AG786" s="86"/>
    </row>
    <row r="787" spans="1:33" s="221" customFormat="1" x14ac:dyDescent="0.2">
      <c r="A787" s="4" t="s">
        <v>98</v>
      </c>
      <c r="B787" s="237"/>
      <c r="C787" s="515">
        <f>IF(C$729&lt;C785,C782,C783)</f>
        <v>113220214.84375</v>
      </c>
      <c r="D787" s="515">
        <f t="shared" ref="D787:AF787" si="608">IF(D$729&lt;D785,D782,D783)</f>
        <v>-3179016113.28125</v>
      </c>
      <c r="E787" s="515">
        <f t="shared" si="608"/>
        <v>-168762207.03125</v>
      </c>
      <c r="F787" s="515">
        <f t="shared" si="608"/>
        <v>151672363.28125</v>
      </c>
      <c r="G787" s="515">
        <f t="shared" si="608"/>
        <v>-1101684570.3125</v>
      </c>
      <c r="H787" s="515">
        <f t="shared" si="608"/>
        <v>104980468.75</v>
      </c>
      <c r="I787" s="515">
        <f t="shared" si="608"/>
        <v>-46997070.3125</v>
      </c>
      <c r="J787" s="515">
        <f t="shared" si="608"/>
        <v>410766601.5625</v>
      </c>
      <c r="K787" s="515">
        <f t="shared" si="608"/>
        <v>51879882.8125</v>
      </c>
      <c r="L787" s="515">
        <f t="shared" si="608"/>
        <v>51879882.8125</v>
      </c>
      <c r="M787" s="515">
        <f t="shared" si="608"/>
        <v>50964355.46875</v>
      </c>
      <c r="N787" s="515">
        <f t="shared" si="608"/>
        <v>49133300.78125</v>
      </c>
      <c r="O787" s="515">
        <f t="shared" si="608"/>
        <v>48217773.4375</v>
      </c>
      <c r="P787" s="515">
        <f t="shared" si="608"/>
        <v>39978027.34375</v>
      </c>
      <c r="Q787" s="515">
        <f t="shared" si="608"/>
        <v>14343261.71875</v>
      </c>
      <c r="R787" s="515">
        <f t="shared" si="608"/>
        <v>-38757324.21875</v>
      </c>
      <c r="S787" s="515">
        <f t="shared" si="608"/>
        <v>-21362304.6875</v>
      </c>
      <c r="T787" s="515">
        <f t="shared" si="608"/>
        <v>-1220703.125</v>
      </c>
      <c r="U787" s="515">
        <f t="shared" si="608"/>
        <v>15258789.0625</v>
      </c>
      <c r="V787" s="515">
        <f t="shared" si="608"/>
        <v>-93688964.84375</v>
      </c>
      <c r="W787" s="515">
        <f t="shared" si="608"/>
        <v>-81787109.375</v>
      </c>
      <c r="X787" s="515">
        <f t="shared" si="608"/>
        <v>35400390.625</v>
      </c>
      <c r="Y787" s="515">
        <f t="shared" si="608"/>
        <v>38146972.65625</v>
      </c>
      <c r="Z787" s="515">
        <f t="shared" si="608"/>
        <v>-7629394.53125</v>
      </c>
      <c r="AA787" s="515">
        <f t="shared" si="608"/>
        <v>2582092285.15625</v>
      </c>
      <c r="AB787" s="515">
        <f t="shared" si="608"/>
        <v>2583618164.0625</v>
      </c>
      <c r="AC787" s="515">
        <f t="shared" si="608"/>
        <v>2583618164.0625</v>
      </c>
      <c r="AD787" s="515">
        <f t="shared" si="608"/>
        <v>2583923339.84375</v>
      </c>
      <c r="AE787" s="515">
        <f t="shared" si="608"/>
        <v>2581787109.375</v>
      </c>
      <c r="AF787" s="515">
        <f t="shared" si="608"/>
        <v>2583923339.84375</v>
      </c>
      <c r="AG787" s="86"/>
    </row>
    <row r="788" spans="1:33" s="221" customFormat="1" x14ac:dyDescent="0.2">
      <c r="A788" s="4" t="s">
        <v>99</v>
      </c>
      <c r="B788" s="237"/>
      <c r="C788" s="515">
        <f>IF(C$729&gt;C785,C782,C784)</f>
        <v>112304687.5</v>
      </c>
      <c r="D788" s="515">
        <f t="shared" ref="D788:AF788" si="609">IF(D$729&gt;D785,D782,D784)</f>
        <v>-3179931640.625</v>
      </c>
      <c r="E788" s="515">
        <f t="shared" si="609"/>
        <v>-169677734.375</v>
      </c>
      <c r="F788" s="515">
        <f t="shared" si="609"/>
        <v>150756835.9375</v>
      </c>
      <c r="G788" s="515">
        <f t="shared" si="609"/>
        <v>-1102600097.65625</v>
      </c>
      <c r="H788" s="515">
        <f t="shared" si="609"/>
        <v>104064941.40625</v>
      </c>
      <c r="I788" s="515">
        <f t="shared" si="609"/>
        <v>-47912597.65625</v>
      </c>
      <c r="J788" s="515">
        <f t="shared" si="609"/>
        <v>409851074.21875</v>
      </c>
      <c r="K788" s="515">
        <f t="shared" si="609"/>
        <v>50964355.46875</v>
      </c>
      <c r="L788" s="515">
        <f t="shared" si="609"/>
        <v>50964355.46875</v>
      </c>
      <c r="M788" s="515">
        <f t="shared" si="609"/>
        <v>50048828.125</v>
      </c>
      <c r="N788" s="515">
        <f t="shared" si="609"/>
        <v>48217773.4375</v>
      </c>
      <c r="O788" s="515">
        <f t="shared" si="609"/>
        <v>47302246.09375</v>
      </c>
      <c r="P788" s="515">
        <f t="shared" si="609"/>
        <v>39062500</v>
      </c>
      <c r="Q788" s="515">
        <f t="shared" si="609"/>
        <v>13427734.375</v>
      </c>
      <c r="R788" s="515">
        <f t="shared" si="609"/>
        <v>-39672851.5625</v>
      </c>
      <c r="S788" s="515">
        <f t="shared" si="609"/>
        <v>-22277832.03125</v>
      </c>
      <c r="T788" s="515">
        <f t="shared" si="609"/>
        <v>-2136230.46875</v>
      </c>
      <c r="U788" s="515">
        <f t="shared" si="609"/>
        <v>14343261.71875</v>
      </c>
      <c r="V788" s="515">
        <f t="shared" si="609"/>
        <v>-94604492.1875</v>
      </c>
      <c r="W788" s="515">
        <f t="shared" si="609"/>
        <v>-82702636.71875</v>
      </c>
      <c r="X788" s="515">
        <f t="shared" si="609"/>
        <v>34484863.28125</v>
      </c>
      <c r="Y788" s="515">
        <f t="shared" si="609"/>
        <v>37231445.3125</v>
      </c>
      <c r="Z788" s="515">
        <f t="shared" si="609"/>
        <v>-8544921.875</v>
      </c>
      <c r="AA788" s="515">
        <f t="shared" si="609"/>
        <v>2581787109.375</v>
      </c>
      <c r="AB788" s="515">
        <f t="shared" si="609"/>
        <v>2583312988.28125</v>
      </c>
      <c r="AC788" s="515">
        <f t="shared" si="609"/>
        <v>2583312988.28125</v>
      </c>
      <c r="AD788" s="515">
        <f t="shared" si="609"/>
        <v>2583618164.0625</v>
      </c>
      <c r="AE788" s="515">
        <f t="shared" si="609"/>
        <v>2581481933.59375</v>
      </c>
      <c r="AF788" s="515">
        <f t="shared" si="609"/>
        <v>2583618164.0625</v>
      </c>
      <c r="AG788" s="86"/>
    </row>
    <row r="789" spans="1:33" s="220" customFormat="1" x14ac:dyDescent="0.2">
      <c r="A789" s="4" t="s">
        <v>100</v>
      </c>
      <c r="B789" s="236"/>
      <c r="C789" s="30">
        <f t="shared" ref="C789:AF789" si="610">(1/C245)*((EXP(C$241*C786)-1)/(EXP(C$242*C786)-1))</f>
        <v>4.8274893641977311E-2</v>
      </c>
      <c r="D789" s="30">
        <f t="shared" si="610"/>
        <v>1.7814802791489504E-2</v>
      </c>
      <c r="E789" s="30">
        <f t="shared" si="610"/>
        <v>4.2972264813076262E-2</v>
      </c>
      <c r="F789" s="30">
        <f t="shared" si="610"/>
        <v>4.9070787732661644E-2</v>
      </c>
      <c r="G789" s="30">
        <f t="shared" si="610"/>
        <v>3.0563074651397418E-2</v>
      </c>
      <c r="H789" s="30">
        <f t="shared" si="610"/>
        <v>4.8106760429755112E-2</v>
      </c>
      <c r="I789" s="30">
        <f t="shared" si="610"/>
        <v>4.5151845713219049E-2</v>
      </c>
      <c r="J789" s="30">
        <f t="shared" si="610"/>
        <v>5.4952938021676237E-2</v>
      </c>
      <c r="K789" s="30">
        <f t="shared" si="610"/>
        <v>4.7043229607373463E-2</v>
      </c>
      <c r="L789" s="30">
        <f t="shared" si="610"/>
        <v>4.7043229607373463E-2</v>
      </c>
      <c r="M789" s="30">
        <f t="shared" si="610"/>
        <v>4.7025192195252141E-2</v>
      </c>
      <c r="N789" s="30">
        <f t="shared" si="610"/>
        <v>4.6989147428448799E-2</v>
      </c>
      <c r="O789" s="30">
        <f t="shared" si="610"/>
        <v>4.6971140061351675E-2</v>
      </c>
      <c r="P789" s="30">
        <f t="shared" si="610"/>
        <v>4.6809523131791514E-2</v>
      </c>
      <c r="Q789" s="30">
        <f t="shared" si="610"/>
        <v>4.6311847332654671E-2</v>
      </c>
      <c r="R789" s="30">
        <f t="shared" si="610"/>
        <v>4.5305180066613084E-2</v>
      </c>
      <c r="S789" s="30">
        <f t="shared" si="610"/>
        <v>4.5631399959712153E-2</v>
      </c>
      <c r="T789" s="30">
        <f t="shared" si="610"/>
        <v>4.6013434915145271E-2</v>
      </c>
      <c r="U789" s="30">
        <f t="shared" si="610"/>
        <v>4.6329488698918113E-2</v>
      </c>
      <c r="V789" s="30">
        <f t="shared" si="610"/>
        <v>4.4297178778372762E-2</v>
      </c>
      <c r="W789" s="30">
        <f t="shared" si="610"/>
        <v>4.4512760268584514E-2</v>
      </c>
      <c r="X789" s="30">
        <f t="shared" si="610"/>
        <v>4.6720084381215991E-2</v>
      </c>
      <c r="Y789" s="30">
        <f t="shared" si="610"/>
        <v>4.6773717833721203E-2</v>
      </c>
      <c r="Z789" s="30">
        <f t="shared" si="610"/>
        <v>4.5891373490370369E-2</v>
      </c>
      <c r="AA789" s="30">
        <f t="shared" si="610"/>
        <v>0.17248878196541326</v>
      </c>
      <c r="AB789" s="30">
        <f t="shared" si="610"/>
        <v>0.17264648955285761</v>
      </c>
      <c r="AC789" s="30">
        <f t="shared" si="610"/>
        <v>0.17264648955285761</v>
      </c>
      <c r="AD789" s="30">
        <f t="shared" si="610"/>
        <v>0.17267805117456314</v>
      </c>
      <c r="AE789" s="30">
        <f t="shared" si="610"/>
        <v>0.17245726054160981</v>
      </c>
      <c r="AF789" s="30">
        <f t="shared" si="610"/>
        <v>0.17267805117456314</v>
      </c>
      <c r="AG789" s="26"/>
    </row>
    <row r="790" spans="1:33" s="221" customFormat="1" x14ac:dyDescent="0.2">
      <c r="A790" s="4" t="s">
        <v>97</v>
      </c>
      <c r="B790" s="237"/>
      <c r="C790" s="515">
        <f>IF(C$729&gt;C789,C786+((C787-C786)/2),C786-((C786-C788)/2))</f>
        <v>112991333.0078125</v>
      </c>
      <c r="D790" s="515">
        <f t="shared" ref="D790:AF790" si="611">IF(D$729&gt;D789,D786+((D787-D786)/2),D786-((D786-D788)/2))</f>
        <v>-3179244995.1171875</v>
      </c>
      <c r="E790" s="515">
        <f t="shared" si="611"/>
        <v>-169448852.5390625</v>
      </c>
      <c r="F790" s="515">
        <f t="shared" si="611"/>
        <v>151443481.4453125</v>
      </c>
      <c r="G790" s="515">
        <f t="shared" si="611"/>
        <v>-1101913452.1484375</v>
      </c>
      <c r="H790" s="515">
        <f t="shared" si="611"/>
        <v>104293823.2421875</v>
      </c>
      <c r="I790" s="515">
        <f t="shared" si="611"/>
        <v>-47225952.1484375</v>
      </c>
      <c r="J790" s="515">
        <f t="shared" si="611"/>
        <v>410537719.7265625</v>
      </c>
      <c r="K790" s="515">
        <f t="shared" si="611"/>
        <v>51193237.3046875</v>
      </c>
      <c r="L790" s="515">
        <f t="shared" si="611"/>
        <v>51651000.9765625</v>
      </c>
      <c r="M790" s="515">
        <f t="shared" si="611"/>
        <v>50735473.6328125</v>
      </c>
      <c r="N790" s="515">
        <f t="shared" si="611"/>
        <v>48904418.9453125</v>
      </c>
      <c r="O790" s="515">
        <f t="shared" si="611"/>
        <v>47531127.9296875</v>
      </c>
      <c r="P790" s="515">
        <f t="shared" si="611"/>
        <v>39749145.5078125</v>
      </c>
      <c r="Q790" s="515">
        <f t="shared" si="611"/>
        <v>13656616.2109375</v>
      </c>
      <c r="R790" s="515">
        <f t="shared" si="611"/>
        <v>-38986206.0546875</v>
      </c>
      <c r="S790" s="515">
        <f t="shared" si="611"/>
        <v>-21591186.5234375</v>
      </c>
      <c r="T790" s="515">
        <f t="shared" si="611"/>
        <v>-1907348.6328125</v>
      </c>
      <c r="U790" s="515">
        <f t="shared" si="611"/>
        <v>14572143.5546875</v>
      </c>
      <c r="V790" s="515">
        <f t="shared" si="611"/>
        <v>-93917846.6796875</v>
      </c>
      <c r="W790" s="515">
        <f t="shared" si="611"/>
        <v>-82473754.8828125</v>
      </c>
      <c r="X790" s="515">
        <f t="shared" si="611"/>
        <v>34713745.1171875</v>
      </c>
      <c r="Y790" s="515">
        <f t="shared" si="611"/>
        <v>37460327.1484375</v>
      </c>
      <c r="Z790" s="515">
        <f t="shared" si="611"/>
        <v>-7858276.3671875</v>
      </c>
      <c r="AA790" s="515">
        <f t="shared" si="611"/>
        <v>2581863403.3203125</v>
      </c>
      <c r="AB790" s="515">
        <f t="shared" si="611"/>
        <v>2583389282.2265625</v>
      </c>
      <c r="AC790" s="515">
        <f t="shared" si="611"/>
        <v>2583389282.2265625</v>
      </c>
      <c r="AD790" s="515">
        <f t="shared" si="611"/>
        <v>2583847045.8984375</v>
      </c>
      <c r="AE790" s="515">
        <f t="shared" si="611"/>
        <v>2581710815.4296875</v>
      </c>
      <c r="AF790" s="515">
        <f t="shared" si="611"/>
        <v>2583694458.0078125</v>
      </c>
      <c r="AG790" s="86"/>
    </row>
    <row r="791" spans="1:33" s="221" customFormat="1" x14ac:dyDescent="0.2">
      <c r="A791" s="4" t="s">
        <v>98</v>
      </c>
      <c r="B791" s="237"/>
      <c r="C791" s="515">
        <f>IF(C$729&lt;C789,C786,C787)</f>
        <v>113220214.84375</v>
      </c>
      <c r="D791" s="515">
        <f t="shared" ref="D791:AF791" si="612">IF(D$729&lt;D789,D786,D787)</f>
        <v>-3179016113.28125</v>
      </c>
      <c r="E791" s="515">
        <f t="shared" si="612"/>
        <v>-169219970.703125</v>
      </c>
      <c r="F791" s="515">
        <f t="shared" si="612"/>
        <v>151672363.28125</v>
      </c>
      <c r="G791" s="515">
        <f t="shared" si="612"/>
        <v>-1101684570.3125</v>
      </c>
      <c r="H791" s="515">
        <f t="shared" si="612"/>
        <v>104522705.078125</v>
      </c>
      <c r="I791" s="515">
        <f t="shared" si="612"/>
        <v>-46997070.3125</v>
      </c>
      <c r="J791" s="515">
        <f t="shared" si="612"/>
        <v>410766601.5625</v>
      </c>
      <c r="K791" s="515">
        <f t="shared" si="612"/>
        <v>51422119.140625</v>
      </c>
      <c r="L791" s="515">
        <f t="shared" si="612"/>
        <v>51879882.8125</v>
      </c>
      <c r="M791" s="515">
        <f t="shared" si="612"/>
        <v>50964355.46875</v>
      </c>
      <c r="N791" s="515">
        <f t="shared" si="612"/>
        <v>49133300.78125</v>
      </c>
      <c r="O791" s="515">
        <f t="shared" si="612"/>
        <v>47760009.765625</v>
      </c>
      <c r="P791" s="515">
        <f t="shared" si="612"/>
        <v>39978027.34375</v>
      </c>
      <c r="Q791" s="515">
        <f t="shared" si="612"/>
        <v>13885498.046875</v>
      </c>
      <c r="R791" s="515">
        <f t="shared" si="612"/>
        <v>-38757324.21875</v>
      </c>
      <c r="S791" s="515">
        <f t="shared" si="612"/>
        <v>-21362304.6875</v>
      </c>
      <c r="T791" s="515">
        <f t="shared" si="612"/>
        <v>-1678466.796875</v>
      </c>
      <c r="U791" s="515">
        <f t="shared" si="612"/>
        <v>14801025.390625</v>
      </c>
      <c r="V791" s="515">
        <f t="shared" si="612"/>
        <v>-93688964.84375</v>
      </c>
      <c r="W791" s="515">
        <f t="shared" si="612"/>
        <v>-82244873.046875</v>
      </c>
      <c r="X791" s="515">
        <f t="shared" si="612"/>
        <v>34942626.953125</v>
      </c>
      <c r="Y791" s="515">
        <f t="shared" si="612"/>
        <v>37689208.984375</v>
      </c>
      <c r="Z791" s="515">
        <f t="shared" si="612"/>
        <v>-7629394.53125</v>
      </c>
      <c r="AA791" s="515">
        <f t="shared" si="612"/>
        <v>2581939697.265625</v>
      </c>
      <c r="AB791" s="515">
        <f t="shared" si="612"/>
        <v>2583465576.171875</v>
      </c>
      <c r="AC791" s="515">
        <f t="shared" si="612"/>
        <v>2583465576.171875</v>
      </c>
      <c r="AD791" s="515">
        <f t="shared" si="612"/>
        <v>2583923339.84375</v>
      </c>
      <c r="AE791" s="515">
        <f t="shared" si="612"/>
        <v>2581787109.375</v>
      </c>
      <c r="AF791" s="515">
        <f t="shared" si="612"/>
        <v>2583770751.953125</v>
      </c>
      <c r="AG791" s="86"/>
    </row>
    <row r="792" spans="1:33" s="221" customFormat="1" x14ac:dyDescent="0.2">
      <c r="A792" s="4" t="s">
        <v>99</v>
      </c>
      <c r="B792" s="237"/>
      <c r="C792" s="515">
        <f>IF(C$729&gt;C789,C786,C788)</f>
        <v>112762451.171875</v>
      </c>
      <c r="D792" s="515">
        <f t="shared" ref="D792:AF792" si="613">IF(D$729&gt;D789,D786,D788)</f>
        <v>-3179473876.953125</v>
      </c>
      <c r="E792" s="515">
        <f t="shared" si="613"/>
        <v>-169677734.375</v>
      </c>
      <c r="F792" s="515">
        <f t="shared" si="613"/>
        <v>151214599.609375</v>
      </c>
      <c r="G792" s="515">
        <f t="shared" si="613"/>
        <v>-1102142333.984375</v>
      </c>
      <c r="H792" s="515">
        <f t="shared" si="613"/>
        <v>104064941.40625</v>
      </c>
      <c r="I792" s="515">
        <f t="shared" si="613"/>
        <v>-47454833.984375</v>
      </c>
      <c r="J792" s="515">
        <f t="shared" si="613"/>
        <v>410308837.890625</v>
      </c>
      <c r="K792" s="515">
        <f t="shared" si="613"/>
        <v>50964355.46875</v>
      </c>
      <c r="L792" s="515">
        <f t="shared" si="613"/>
        <v>51422119.140625</v>
      </c>
      <c r="M792" s="515">
        <f t="shared" si="613"/>
        <v>50506591.796875</v>
      </c>
      <c r="N792" s="515">
        <f t="shared" si="613"/>
        <v>48675537.109375</v>
      </c>
      <c r="O792" s="515">
        <f t="shared" si="613"/>
        <v>47302246.09375</v>
      </c>
      <c r="P792" s="515">
        <f t="shared" si="613"/>
        <v>39520263.671875</v>
      </c>
      <c r="Q792" s="515">
        <f t="shared" si="613"/>
        <v>13427734.375</v>
      </c>
      <c r="R792" s="515">
        <f t="shared" si="613"/>
        <v>-39215087.890625</v>
      </c>
      <c r="S792" s="515">
        <f t="shared" si="613"/>
        <v>-21820068.359375</v>
      </c>
      <c r="T792" s="515">
        <f t="shared" si="613"/>
        <v>-2136230.46875</v>
      </c>
      <c r="U792" s="515">
        <f t="shared" si="613"/>
        <v>14343261.71875</v>
      </c>
      <c r="V792" s="515">
        <f t="shared" si="613"/>
        <v>-94146728.515625</v>
      </c>
      <c r="W792" s="515">
        <f t="shared" si="613"/>
        <v>-82702636.71875</v>
      </c>
      <c r="X792" s="515">
        <f t="shared" si="613"/>
        <v>34484863.28125</v>
      </c>
      <c r="Y792" s="515">
        <f t="shared" si="613"/>
        <v>37231445.3125</v>
      </c>
      <c r="Z792" s="515">
        <f t="shared" si="613"/>
        <v>-8087158.203125</v>
      </c>
      <c r="AA792" s="515">
        <f t="shared" si="613"/>
        <v>2581787109.375</v>
      </c>
      <c r="AB792" s="515">
        <f t="shared" si="613"/>
        <v>2583312988.28125</v>
      </c>
      <c r="AC792" s="515">
        <f t="shared" si="613"/>
        <v>2583312988.28125</v>
      </c>
      <c r="AD792" s="515">
        <f t="shared" si="613"/>
        <v>2583770751.953125</v>
      </c>
      <c r="AE792" s="515">
        <f t="shared" si="613"/>
        <v>2581634521.484375</v>
      </c>
      <c r="AF792" s="515">
        <f t="shared" si="613"/>
        <v>2583618164.0625</v>
      </c>
      <c r="AG792" s="86"/>
    </row>
    <row r="793" spans="1:33" s="220" customFormat="1" x14ac:dyDescent="0.2">
      <c r="A793" s="4" t="s">
        <v>100</v>
      </c>
      <c r="B793" s="236"/>
      <c r="C793" s="30">
        <f t="shared" ref="C793:AF793" si="614">(1/C245)*((EXP(C$241*C790)-1)/(EXP(C$242*C790)-1))</f>
        <v>4.8279576073584247E-2</v>
      </c>
      <c r="D793" s="30">
        <f t="shared" si="614"/>
        <v>1.7815611572666083E-2</v>
      </c>
      <c r="E793" s="30">
        <f t="shared" si="614"/>
        <v>4.2968315801032608E-2</v>
      </c>
      <c r="F793" s="30">
        <f t="shared" si="614"/>
        <v>4.9075581376823316E-2</v>
      </c>
      <c r="G793" s="30">
        <f t="shared" si="614"/>
        <v>3.0565381087830547E-2</v>
      </c>
      <c r="H793" s="30">
        <f t="shared" si="614"/>
        <v>4.8102102103636815E-2</v>
      </c>
      <c r="I793" s="30">
        <f t="shared" si="614"/>
        <v>4.5156094722419E-2</v>
      </c>
      <c r="J793" s="30">
        <f t="shared" si="614"/>
        <v>5.4958562101740702E-2</v>
      </c>
      <c r="K793" s="30">
        <f t="shared" si="614"/>
        <v>4.7038719314515073E-2</v>
      </c>
      <c r="L793" s="30">
        <f t="shared" si="614"/>
        <v>4.70477405269462E-2</v>
      </c>
      <c r="M793" s="30">
        <f t="shared" si="614"/>
        <v>4.7029700608551099E-2</v>
      </c>
      <c r="N793" s="30">
        <f t="shared" si="614"/>
        <v>4.6993650833855566E-2</v>
      </c>
      <c r="O793" s="30">
        <f t="shared" si="614"/>
        <v>4.696663978272634E-2</v>
      </c>
      <c r="P793" s="30">
        <f t="shared" si="614"/>
        <v>4.6814001590626694E-2</v>
      </c>
      <c r="Q793" s="30">
        <f t="shared" si="614"/>
        <v>4.6307438518825045E-2</v>
      </c>
      <c r="R793" s="30">
        <f t="shared" si="614"/>
        <v>4.5309450240079048E-2</v>
      </c>
      <c r="S793" s="30">
        <f t="shared" si="614"/>
        <v>4.5635715201407231E-2</v>
      </c>
      <c r="T793" s="30">
        <f t="shared" si="614"/>
        <v>4.6009067428511456E-2</v>
      </c>
      <c r="U793" s="30">
        <f t="shared" si="614"/>
        <v>4.632507744051987E-2</v>
      </c>
      <c r="V793" s="30">
        <f t="shared" si="614"/>
        <v>4.4301310050887235E-2</v>
      </c>
      <c r="W793" s="30">
        <f t="shared" si="614"/>
        <v>4.4508599907988791E-2</v>
      </c>
      <c r="X793" s="30">
        <f t="shared" si="614"/>
        <v>4.6715618957592894E-2</v>
      </c>
      <c r="Y793" s="30">
        <f t="shared" si="614"/>
        <v>4.6769244966597401E-2</v>
      </c>
      <c r="Z793" s="30">
        <f t="shared" si="614"/>
        <v>4.5895724687830854E-2</v>
      </c>
      <c r="AA793" s="30">
        <f t="shared" si="614"/>
        <v>0.17248090098178151</v>
      </c>
      <c r="AB793" s="30">
        <f t="shared" si="614"/>
        <v>0.17263860019489813</v>
      </c>
      <c r="AC793" s="30">
        <f t="shared" si="614"/>
        <v>0.17263860019489813</v>
      </c>
      <c r="AD793" s="30">
        <f t="shared" si="614"/>
        <v>0.17268594262757417</v>
      </c>
      <c r="AE793" s="30">
        <f t="shared" si="614"/>
        <v>0.1724651402699032</v>
      </c>
      <c r="AF793" s="30">
        <f t="shared" si="614"/>
        <v>0.1726701601406096</v>
      </c>
      <c r="AG793" s="26"/>
    </row>
    <row r="794" spans="1:33" s="221" customFormat="1" x14ac:dyDescent="0.2">
      <c r="A794" s="4" t="s">
        <v>97</v>
      </c>
      <c r="B794" s="237"/>
      <c r="C794" s="515">
        <f>IF(C$729&gt;C793,C790+((C791-C790)/2),C790-((C790-C792)/2))</f>
        <v>113105773.92578125</v>
      </c>
      <c r="D794" s="515">
        <f t="shared" ref="D794:AF794" si="615">IF(D$729&gt;D793,D790+((D791-D790)/2),D790-((D790-D792)/2))</f>
        <v>-3179130554.1992188</v>
      </c>
      <c r="E794" s="515">
        <f t="shared" si="615"/>
        <v>-169334411.62109375</v>
      </c>
      <c r="F794" s="515">
        <f t="shared" si="615"/>
        <v>151557922.36328125</v>
      </c>
      <c r="G794" s="515">
        <f t="shared" si="615"/>
        <v>-1102027893.0664062</v>
      </c>
      <c r="H794" s="515">
        <f t="shared" si="615"/>
        <v>104179382.32421875</v>
      </c>
      <c r="I794" s="515">
        <f t="shared" si="615"/>
        <v>-47340393.06640625</v>
      </c>
      <c r="J794" s="515">
        <f t="shared" si="615"/>
        <v>410423278.80859375</v>
      </c>
      <c r="K794" s="515">
        <f t="shared" si="615"/>
        <v>51307678.22265625</v>
      </c>
      <c r="L794" s="515">
        <f t="shared" si="615"/>
        <v>51536560.05859375</v>
      </c>
      <c r="M794" s="515">
        <f t="shared" si="615"/>
        <v>50621032.71484375</v>
      </c>
      <c r="N794" s="515">
        <f t="shared" si="615"/>
        <v>48789978.02734375</v>
      </c>
      <c r="O794" s="515">
        <f t="shared" si="615"/>
        <v>47416687.01171875</v>
      </c>
      <c r="P794" s="515">
        <f t="shared" si="615"/>
        <v>39863586.42578125</v>
      </c>
      <c r="Q794" s="515">
        <f t="shared" si="615"/>
        <v>13771057.12890625</v>
      </c>
      <c r="R794" s="515">
        <f t="shared" si="615"/>
        <v>-39100646.97265625</v>
      </c>
      <c r="S794" s="515">
        <f t="shared" si="615"/>
        <v>-21476745.60546875</v>
      </c>
      <c r="T794" s="515">
        <f t="shared" si="615"/>
        <v>-1792907.71484375</v>
      </c>
      <c r="U794" s="515">
        <f t="shared" si="615"/>
        <v>14457702.63671875</v>
      </c>
      <c r="V794" s="515">
        <f t="shared" si="615"/>
        <v>-94032287.59765625</v>
      </c>
      <c r="W794" s="515">
        <f t="shared" si="615"/>
        <v>-82359313.96484375</v>
      </c>
      <c r="X794" s="515">
        <f t="shared" si="615"/>
        <v>34599304.19921875</v>
      </c>
      <c r="Y794" s="515">
        <f t="shared" si="615"/>
        <v>37345886.23046875</v>
      </c>
      <c r="Z794" s="515">
        <f t="shared" si="615"/>
        <v>-7743835.44921875</v>
      </c>
      <c r="AA794" s="515">
        <f t="shared" si="615"/>
        <v>2581901550.2929688</v>
      </c>
      <c r="AB794" s="515">
        <f t="shared" si="615"/>
        <v>2583351135.2539062</v>
      </c>
      <c r="AC794" s="515">
        <f t="shared" si="615"/>
        <v>2583427429.1992188</v>
      </c>
      <c r="AD794" s="515">
        <f t="shared" si="615"/>
        <v>2583808898.9257812</v>
      </c>
      <c r="AE794" s="515">
        <f t="shared" si="615"/>
        <v>2581748962.4023438</v>
      </c>
      <c r="AF794" s="515">
        <f t="shared" si="615"/>
        <v>2583732604.9804688</v>
      </c>
      <c r="AG794" s="86"/>
    </row>
    <row r="795" spans="1:33" s="221" customFormat="1" x14ac:dyDescent="0.2">
      <c r="A795" s="4" t="s">
        <v>98</v>
      </c>
      <c r="B795" s="237"/>
      <c r="C795" s="515">
        <f>IF(C$729&lt;C793,C790,C791)</f>
        <v>113220214.84375</v>
      </c>
      <c r="D795" s="515">
        <f t="shared" ref="D795:AF795" si="616">IF(D$729&lt;D793,D790,D791)</f>
        <v>-3179016113.28125</v>
      </c>
      <c r="E795" s="515">
        <f t="shared" si="616"/>
        <v>-169219970.703125</v>
      </c>
      <c r="F795" s="515">
        <f t="shared" si="616"/>
        <v>151672363.28125</v>
      </c>
      <c r="G795" s="515">
        <f t="shared" si="616"/>
        <v>-1101913452.1484375</v>
      </c>
      <c r="H795" s="515">
        <f t="shared" si="616"/>
        <v>104293823.2421875</v>
      </c>
      <c r="I795" s="515">
        <f t="shared" si="616"/>
        <v>-47225952.1484375</v>
      </c>
      <c r="J795" s="515">
        <f t="shared" si="616"/>
        <v>410537719.7265625</v>
      </c>
      <c r="K795" s="515">
        <f t="shared" si="616"/>
        <v>51422119.140625</v>
      </c>
      <c r="L795" s="515">
        <f t="shared" si="616"/>
        <v>51651000.9765625</v>
      </c>
      <c r="M795" s="515">
        <f t="shared" si="616"/>
        <v>50735473.6328125</v>
      </c>
      <c r="N795" s="515">
        <f t="shared" si="616"/>
        <v>48904418.9453125</v>
      </c>
      <c r="O795" s="515">
        <f t="shared" si="616"/>
        <v>47531127.9296875</v>
      </c>
      <c r="P795" s="515">
        <f t="shared" si="616"/>
        <v>39978027.34375</v>
      </c>
      <c r="Q795" s="515">
        <f t="shared" si="616"/>
        <v>13885498.046875</v>
      </c>
      <c r="R795" s="515">
        <f t="shared" si="616"/>
        <v>-38986206.0546875</v>
      </c>
      <c r="S795" s="515">
        <f t="shared" si="616"/>
        <v>-21362304.6875</v>
      </c>
      <c r="T795" s="515">
        <f t="shared" si="616"/>
        <v>-1678466.796875</v>
      </c>
      <c r="U795" s="515">
        <f t="shared" si="616"/>
        <v>14572143.5546875</v>
      </c>
      <c r="V795" s="515">
        <f t="shared" si="616"/>
        <v>-93917846.6796875</v>
      </c>
      <c r="W795" s="515">
        <f t="shared" si="616"/>
        <v>-82244873.046875</v>
      </c>
      <c r="X795" s="515">
        <f t="shared" si="616"/>
        <v>34713745.1171875</v>
      </c>
      <c r="Y795" s="515">
        <f t="shared" si="616"/>
        <v>37460327.1484375</v>
      </c>
      <c r="Z795" s="515">
        <f t="shared" si="616"/>
        <v>-7629394.53125</v>
      </c>
      <c r="AA795" s="515">
        <f t="shared" si="616"/>
        <v>2581939697.265625</v>
      </c>
      <c r="AB795" s="515">
        <f t="shared" si="616"/>
        <v>2583389282.2265625</v>
      </c>
      <c r="AC795" s="515">
        <f t="shared" si="616"/>
        <v>2583465576.171875</v>
      </c>
      <c r="AD795" s="515">
        <f t="shared" si="616"/>
        <v>2583847045.8984375</v>
      </c>
      <c r="AE795" s="515">
        <f t="shared" si="616"/>
        <v>2581787109.375</v>
      </c>
      <c r="AF795" s="515">
        <f t="shared" si="616"/>
        <v>2583770751.953125</v>
      </c>
      <c r="AG795" s="86"/>
    </row>
    <row r="796" spans="1:33" s="221" customFormat="1" x14ac:dyDescent="0.2">
      <c r="A796" s="4" t="s">
        <v>99</v>
      </c>
      <c r="B796" s="237"/>
      <c r="C796" s="515">
        <f>IF(C$729&gt;C793,C790,C792)</f>
        <v>112991333.0078125</v>
      </c>
      <c r="D796" s="515">
        <f t="shared" ref="D796:AF796" si="617">IF(D$729&gt;D793,D790,D792)</f>
        <v>-3179244995.1171875</v>
      </c>
      <c r="E796" s="515">
        <f t="shared" si="617"/>
        <v>-169448852.5390625</v>
      </c>
      <c r="F796" s="515">
        <f t="shared" si="617"/>
        <v>151443481.4453125</v>
      </c>
      <c r="G796" s="515">
        <f t="shared" si="617"/>
        <v>-1102142333.984375</v>
      </c>
      <c r="H796" s="515">
        <f t="shared" si="617"/>
        <v>104064941.40625</v>
      </c>
      <c r="I796" s="515">
        <f t="shared" si="617"/>
        <v>-47454833.984375</v>
      </c>
      <c r="J796" s="515">
        <f t="shared" si="617"/>
        <v>410308837.890625</v>
      </c>
      <c r="K796" s="515">
        <f t="shared" si="617"/>
        <v>51193237.3046875</v>
      </c>
      <c r="L796" s="515">
        <f t="shared" si="617"/>
        <v>51422119.140625</v>
      </c>
      <c r="M796" s="515">
        <f t="shared" si="617"/>
        <v>50506591.796875</v>
      </c>
      <c r="N796" s="515">
        <f t="shared" si="617"/>
        <v>48675537.109375</v>
      </c>
      <c r="O796" s="515">
        <f t="shared" si="617"/>
        <v>47302246.09375</v>
      </c>
      <c r="P796" s="515">
        <f t="shared" si="617"/>
        <v>39749145.5078125</v>
      </c>
      <c r="Q796" s="515">
        <f t="shared" si="617"/>
        <v>13656616.2109375</v>
      </c>
      <c r="R796" s="515">
        <f t="shared" si="617"/>
        <v>-39215087.890625</v>
      </c>
      <c r="S796" s="515">
        <f t="shared" si="617"/>
        <v>-21591186.5234375</v>
      </c>
      <c r="T796" s="515">
        <f t="shared" si="617"/>
        <v>-1907348.6328125</v>
      </c>
      <c r="U796" s="515">
        <f t="shared" si="617"/>
        <v>14343261.71875</v>
      </c>
      <c r="V796" s="515">
        <f t="shared" si="617"/>
        <v>-94146728.515625</v>
      </c>
      <c r="W796" s="515">
        <f t="shared" si="617"/>
        <v>-82473754.8828125</v>
      </c>
      <c r="X796" s="515">
        <f t="shared" si="617"/>
        <v>34484863.28125</v>
      </c>
      <c r="Y796" s="515">
        <f t="shared" si="617"/>
        <v>37231445.3125</v>
      </c>
      <c r="Z796" s="515">
        <f t="shared" si="617"/>
        <v>-7858276.3671875</v>
      </c>
      <c r="AA796" s="515">
        <f t="shared" si="617"/>
        <v>2581863403.3203125</v>
      </c>
      <c r="AB796" s="515">
        <f t="shared" si="617"/>
        <v>2583312988.28125</v>
      </c>
      <c r="AC796" s="515">
        <f t="shared" si="617"/>
        <v>2583389282.2265625</v>
      </c>
      <c r="AD796" s="515">
        <f t="shared" si="617"/>
        <v>2583770751.953125</v>
      </c>
      <c r="AE796" s="515">
        <f t="shared" si="617"/>
        <v>2581710815.4296875</v>
      </c>
      <c r="AF796" s="515">
        <f t="shared" si="617"/>
        <v>2583694458.0078125</v>
      </c>
      <c r="AG796" s="86"/>
    </row>
    <row r="797" spans="1:33" s="220" customFormat="1" x14ac:dyDescent="0.2">
      <c r="A797" s="4" t="s">
        <v>100</v>
      </c>
      <c r="B797" s="236"/>
      <c r="C797" s="30">
        <f t="shared" ref="C797:AF797" si="618">(1/C245)*((EXP(C$241*C794)-1)/(EXP(C$242*C794)-1))</f>
        <v>4.8281917534415832E-2</v>
      </c>
      <c r="D797" s="30">
        <f t="shared" si="618"/>
        <v>1.7816015994747296E-2</v>
      </c>
      <c r="E797" s="30">
        <f t="shared" si="618"/>
        <v>4.2970290239541742E-2</v>
      </c>
      <c r="F797" s="30">
        <f t="shared" si="618"/>
        <v>4.9077978450416379E-2</v>
      </c>
      <c r="G797" s="30">
        <f t="shared" si="618"/>
        <v>3.0564227832991484E-2</v>
      </c>
      <c r="H797" s="30">
        <f t="shared" si="618"/>
        <v>4.8099773184176006E-2</v>
      </c>
      <c r="I797" s="30">
        <f t="shared" si="618"/>
        <v>4.5153970144536051E-2</v>
      </c>
      <c r="J797" s="30">
        <f t="shared" si="618"/>
        <v>5.4955749961633764E-2</v>
      </c>
      <c r="K797" s="30">
        <f t="shared" si="618"/>
        <v>4.7040974382610075E-2</v>
      </c>
      <c r="L797" s="30">
        <f t="shared" si="618"/>
        <v>4.7045484988814994E-2</v>
      </c>
      <c r="M797" s="30">
        <f t="shared" si="618"/>
        <v>4.7027446323604803E-2</v>
      </c>
      <c r="N797" s="30">
        <f t="shared" si="618"/>
        <v>4.6991399052951827E-2</v>
      </c>
      <c r="O797" s="30">
        <f t="shared" si="618"/>
        <v>4.6964389877819243E-2</v>
      </c>
      <c r="P797" s="30">
        <f t="shared" si="618"/>
        <v>4.6816241053208134E-2</v>
      </c>
      <c r="Q797" s="30">
        <f t="shared" si="618"/>
        <v>4.6309642849368796E-2</v>
      </c>
      <c r="R797" s="30">
        <f t="shared" si="618"/>
        <v>4.5307315079654534E-2</v>
      </c>
      <c r="S797" s="30">
        <f t="shared" si="618"/>
        <v>4.5637873045948796E-2</v>
      </c>
      <c r="T797" s="30">
        <f t="shared" si="618"/>
        <v>4.6011251096258525E-2</v>
      </c>
      <c r="U797" s="30">
        <f t="shared" si="618"/>
        <v>4.6322872040559175E-2</v>
      </c>
      <c r="V797" s="30">
        <f t="shared" si="618"/>
        <v>4.4299244343615388E-2</v>
      </c>
      <c r="W797" s="30">
        <f t="shared" si="618"/>
        <v>4.4510680016711962E-2</v>
      </c>
      <c r="X797" s="30">
        <f t="shared" si="618"/>
        <v>4.6713386478162436E-2</v>
      </c>
      <c r="Y797" s="30">
        <f t="shared" si="618"/>
        <v>4.6767008765848939E-2</v>
      </c>
      <c r="Z797" s="30">
        <f t="shared" si="618"/>
        <v>4.5897900512342528E-2</v>
      </c>
      <c r="AA797" s="30">
        <f t="shared" si="618"/>
        <v>0.17248484142128728</v>
      </c>
      <c r="AB797" s="30">
        <f t="shared" si="618"/>
        <v>0.17263465567302233</v>
      </c>
      <c r="AC797" s="30">
        <f t="shared" si="618"/>
        <v>0.17264254482150893</v>
      </c>
      <c r="AD797" s="30">
        <f t="shared" si="618"/>
        <v>0.17268199684868496</v>
      </c>
      <c r="AE797" s="30">
        <f t="shared" si="618"/>
        <v>0.17246908029095701</v>
      </c>
      <c r="AF797" s="30">
        <f t="shared" si="618"/>
        <v>0.17267410560520571</v>
      </c>
      <c r="AG797" s="26"/>
    </row>
    <row r="798" spans="1:33" s="221" customFormat="1" x14ac:dyDescent="0.2">
      <c r="A798" s="4" t="s">
        <v>97</v>
      </c>
      <c r="B798" s="237"/>
      <c r="C798" s="515">
        <f>IF(C$729&gt;C797,C794+((C795-C794)/2),C794-((C794-C796)/2))</f>
        <v>113162994.38476562</v>
      </c>
      <c r="D798" s="515">
        <f t="shared" ref="D798:AF798" si="619">IF(D$729&gt;D797,D794+((D795-D794)/2),D794-((D794-D796)/2))</f>
        <v>-3179187774.6582031</v>
      </c>
      <c r="E798" s="515">
        <f t="shared" si="619"/>
        <v>-169277191.16210938</v>
      </c>
      <c r="F798" s="515">
        <f t="shared" si="619"/>
        <v>151500701.90429688</v>
      </c>
      <c r="G798" s="515">
        <f t="shared" si="619"/>
        <v>-1101970672.6074219</v>
      </c>
      <c r="H798" s="515">
        <f t="shared" si="619"/>
        <v>104236602.78320312</v>
      </c>
      <c r="I798" s="515">
        <f t="shared" si="619"/>
        <v>-47283172.607421875</v>
      </c>
      <c r="J798" s="515">
        <f t="shared" si="619"/>
        <v>410480499.26757812</v>
      </c>
      <c r="K798" s="515">
        <f t="shared" si="619"/>
        <v>51250457.763671875</v>
      </c>
      <c r="L798" s="515">
        <f t="shared" si="619"/>
        <v>51593780.517578125</v>
      </c>
      <c r="M798" s="515">
        <f t="shared" si="619"/>
        <v>50678253.173828125</v>
      </c>
      <c r="N798" s="515">
        <f t="shared" si="619"/>
        <v>48847198.486328125</v>
      </c>
      <c r="O798" s="515">
        <f t="shared" si="619"/>
        <v>47473907.470703125</v>
      </c>
      <c r="P798" s="515">
        <f t="shared" si="619"/>
        <v>39806365.966796875</v>
      </c>
      <c r="Q798" s="515">
        <f t="shared" si="619"/>
        <v>13713836.669921875</v>
      </c>
      <c r="R798" s="515">
        <f t="shared" si="619"/>
        <v>-39157867.431640625</v>
      </c>
      <c r="S798" s="515">
        <f t="shared" si="619"/>
        <v>-21419525.146484375</v>
      </c>
      <c r="T798" s="515">
        <f t="shared" si="619"/>
        <v>-1850128.173828125</v>
      </c>
      <c r="U798" s="515">
        <f t="shared" si="619"/>
        <v>14514923.095703125</v>
      </c>
      <c r="V798" s="515">
        <f t="shared" si="619"/>
        <v>-94089508.056640625</v>
      </c>
      <c r="W798" s="515">
        <f t="shared" si="619"/>
        <v>-82416534.423828125</v>
      </c>
      <c r="X798" s="515">
        <f t="shared" si="619"/>
        <v>34542083.740234375</v>
      </c>
      <c r="Y798" s="515">
        <f t="shared" si="619"/>
        <v>37288665.771484375</v>
      </c>
      <c r="Z798" s="515">
        <f t="shared" si="619"/>
        <v>-7801055.908203125</v>
      </c>
      <c r="AA798" s="515">
        <f t="shared" si="619"/>
        <v>2581882476.8066406</v>
      </c>
      <c r="AB798" s="515">
        <f t="shared" si="619"/>
        <v>2583370208.7402344</v>
      </c>
      <c r="AC798" s="515">
        <f t="shared" si="619"/>
        <v>2583446502.6855469</v>
      </c>
      <c r="AD798" s="515">
        <f t="shared" si="619"/>
        <v>2583789825.4394531</v>
      </c>
      <c r="AE798" s="515">
        <f t="shared" si="619"/>
        <v>2581729888.9160156</v>
      </c>
      <c r="AF798" s="515">
        <f t="shared" si="619"/>
        <v>2583751678.4667969</v>
      </c>
      <c r="AG798" s="86"/>
    </row>
    <row r="799" spans="1:33" s="221" customFormat="1" x14ac:dyDescent="0.2">
      <c r="A799" s="4" t="s">
        <v>98</v>
      </c>
      <c r="B799" s="237"/>
      <c r="C799" s="515">
        <f>IF(C$729&lt;C797,C794,C795)</f>
        <v>113220214.84375</v>
      </c>
      <c r="D799" s="515">
        <f t="shared" ref="D799:AF799" si="620">IF(D$729&lt;D797,D794,D795)</f>
        <v>-3179130554.1992188</v>
      </c>
      <c r="E799" s="515">
        <f t="shared" si="620"/>
        <v>-169219970.703125</v>
      </c>
      <c r="F799" s="515">
        <f t="shared" si="620"/>
        <v>151557922.36328125</v>
      </c>
      <c r="G799" s="515">
        <f t="shared" si="620"/>
        <v>-1101913452.1484375</v>
      </c>
      <c r="H799" s="515">
        <f t="shared" si="620"/>
        <v>104293823.2421875</v>
      </c>
      <c r="I799" s="515">
        <f t="shared" si="620"/>
        <v>-47225952.1484375</v>
      </c>
      <c r="J799" s="515">
        <f t="shared" si="620"/>
        <v>410537719.7265625</v>
      </c>
      <c r="K799" s="515">
        <f t="shared" si="620"/>
        <v>51307678.22265625</v>
      </c>
      <c r="L799" s="515">
        <f t="shared" si="620"/>
        <v>51651000.9765625</v>
      </c>
      <c r="M799" s="515">
        <f t="shared" si="620"/>
        <v>50735473.6328125</v>
      </c>
      <c r="N799" s="515">
        <f t="shared" si="620"/>
        <v>48904418.9453125</v>
      </c>
      <c r="O799" s="515">
        <f t="shared" si="620"/>
        <v>47531127.9296875</v>
      </c>
      <c r="P799" s="515">
        <f t="shared" si="620"/>
        <v>39863586.42578125</v>
      </c>
      <c r="Q799" s="515">
        <f t="shared" si="620"/>
        <v>13771057.12890625</v>
      </c>
      <c r="R799" s="515">
        <f t="shared" si="620"/>
        <v>-39100646.97265625</v>
      </c>
      <c r="S799" s="515">
        <f t="shared" si="620"/>
        <v>-21362304.6875</v>
      </c>
      <c r="T799" s="515">
        <f t="shared" si="620"/>
        <v>-1792907.71484375</v>
      </c>
      <c r="U799" s="515">
        <f t="shared" si="620"/>
        <v>14572143.5546875</v>
      </c>
      <c r="V799" s="515">
        <f t="shared" si="620"/>
        <v>-94032287.59765625</v>
      </c>
      <c r="W799" s="515">
        <f t="shared" si="620"/>
        <v>-82359313.96484375</v>
      </c>
      <c r="X799" s="515">
        <f t="shared" si="620"/>
        <v>34599304.19921875</v>
      </c>
      <c r="Y799" s="515">
        <f t="shared" si="620"/>
        <v>37345886.23046875</v>
      </c>
      <c r="Z799" s="515">
        <f t="shared" si="620"/>
        <v>-7743835.44921875</v>
      </c>
      <c r="AA799" s="515">
        <f t="shared" si="620"/>
        <v>2581901550.2929688</v>
      </c>
      <c r="AB799" s="515">
        <f t="shared" si="620"/>
        <v>2583389282.2265625</v>
      </c>
      <c r="AC799" s="515">
        <f t="shared" si="620"/>
        <v>2583465576.171875</v>
      </c>
      <c r="AD799" s="515">
        <f t="shared" si="620"/>
        <v>2583808898.9257812</v>
      </c>
      <c r="AE799" s="515">
        <f t="shared" si="620"/>
        <v>2581748962.4023438</v>
      </c>
      <c r="AF799" s="515">
        <f t="shared" si="620"/>
        <v>2583770751.953125</v>
      </c>
      <c r="AG799" s="86"/>
    </row>
    <row r="800" spans="1:33" s="221" customFormat="1" x14ac:dyDescent="0.2">
      <c r="A800" s="4" t="s">
        <v>99</v>
      </c>
      <c r="B800" s="237"/>
      <c r="C800" s="515">
        <f>IF(C$729&gt;C797,C794,C796)</f>
        <v>113105773.92578125</v>
      </c>
      <c r="D800" s="515">
        <f t="shared" ref="D800:AF800" si="621">IF(D$729&gt;D797,D794,D796)</f>
        <v>-3179244995.1171875</v>
      </c>
      <c r="E800" s="515">
        <f t="shared" si="621"/>
        <v>-169334411.62109375</v>
      </c>
      <c r="F800" s="515">
        <f t="shared" si="621"/>
        <v>151443481.4453125</v>
      </c>
      <c r="G800" s="515">
        <f t="shared" si="621"/>
        <v>-1102027893.0664062</v>
      </c>
      <c r="H800" s="515">
        <f t="shared" si="621"/>
        <v>104179382.32421875</v>
      </c>
      <c r="I800" s="515">
        <f t="shared" si="621"/>
        <v>-47340393.06640625</v>
      </c>
      <c r="J800" s="515">
        <f t="shared" si="621"/>
        <v>410423278.80859375</v>
      </c>
      <c r="K800" s="515">
        <f t="shared" si="621"/>
        <v>51193237.3046875</v>
      </c>
      <c r="L800" s="515">
        <f t="shared" si="621"/>
        <v>51536560.05859375</v>
      </c>
      <c r="M800" s="515">
        <f t="shared" si="621"/>
        <v>50621032.71484375</v>
      </c>
      <c r="N800" s="515">
        <f t="shared" si="621"/>
        <v>48789978.02734375</v>
      </c>
      <c r="O800" s="515">
        <f t="shared" si="621"/>
        <v>47416687.01171875</v>
      </c>
      <c r="P800" s="515">
        <f t="shared" si="621"/>
        <v>39749145.5078125</v>
      </c>
      <c r="Q800" s="515">
        <f t="shared" si="621"/>
        <v>13656616.2109375</v>
      </c>
      <c r="R800" s="515">
        <f t="shared" si="621"/>
        <v>-39215087.890625</v>
      </c>
      <c r="S800" s="515">
        <f t="shared" si="621"/>
        <v>-21476745.60546875</v>
      </c>
      <c r="T800" s="515">
        <f t="shared" si="621"/>
        <v>-1907348.6328125</v>
      </c>
      <c r="U800" s="515">
        <f t="shared" si="621"/>
        <v>14457702.63671875</v>
      </c>
      <c r="V800" s="515">
        <f t="shared" si="621"/>
        <v>-94146728.515625</v>
      </c>
      <c r="W800" s="515">
        <f t="shared" si="621"/>
        <v>-82473754.8828125</v>
      </c>
      <c r="X800" s="515">
        <f t="shared" si="621"/>
        <v>34484863.28125</v>
      </c>
      <c r="Y800" s="515">
        <f t="shared" si="621"/>
        <v>37231445.3125</v>
      </c>
      <c r="Z800" s="515">
        <f t="shared" si="621"/>
        <v>-7858276.3671875</v>
      </c>
      <c r="AA800" s="515">
        <f t="shared" si="621"/>
        <v>2581863403.3203125</v>
      </c>
      <c r="AB800" s="515">
        <f t="shared" si="621"/>
        <v>2583351135.2539062</v>
      </c>
      <c r="AC800" s="515">
        <f t="shared" si="621"/>
        <v>2583427429.1992188</v>
      </c>
      <c r="AD800" s="515">
        <f t="shared" si="621"/>
        <v>2583770751.953125</v>
      </c>
      <c r="AE800" s="515">
        <f t="shared" si="621"/>
        <v>2581710815.4296875</v>
      </c>
      <c r="AF800" s="515">
        <f t="shared" si="621"/>
        <v>2583732604.9804688</v>
      </c>
      <c r="AG800" s="86"/>
    </row>
    <row r="801" spans="1:33" s="220" customFormat="1" x14ac:dyDescent="0.2">
      <c r="A801" s="4" t="s">
        <v>100</v>
      </c>
      <c r="B801" s="236"/>
      <c r="C801" s="30">
        <f t="shared" ref="C801:AF801" si="622">(1/C245)*((EXP(C$241*C798)-1)/(EXP(C$242*C798)-1))</f>
        <v>4.8283088326094382E-2</v>
      </c>
      <c r="D801" s="30">
        <f t="shared" si="622"/>
        <v>1.781581378108214E-2</v>
      </c>
      <c r="E801" s="30">
        <f t="shared" si="622"/>
        <v>4.2971277509430264E-2</v>
      </c>
      <c r="F801" s="30">
        <f t="shared" si="622"/>
        <v>4.907677989265901E-2</v>
      </c>
      <c r="G801" s="30">
        <f t="shared" si="622"/>
        <v>3.0564804451255055E-2</v>
      </c>
      <c r="H801" s="30">
        <f t="shared" si="622"/>
        <v>4.8100937623607919E-2</v>
      </c>
      <c r="I801" s="30">
        <f t="shared" si="622"/>
        <v>4.5155032415156136E-2</v>
      </c>
      <c r="J801" s="30">
        <f t="shared" si="622"/>
        <v>5.495715600666768E-2</v>
      </c>
      <c r="K801" s="30">
        <f t="shared" si="622"/>
        <v>4.7039846828980138E-2</v>
      </c>
      <c r="L801" s="30">
        <f t="shared" si="622"/>
        <v>4.7046612738293483E-2</v>
      </c>
      <c r="M801" s="30">
        <f t="shared" si="622"/>
        <v>4.7028573446502964E-2</v>
      </c>
      <c r="N801" s="30">
        <f t="shared" si="622"/>
        <v>4.6992524923853259E-2</v>
      </c>
      <c r="O801" s="30">
        <f t="shared" si="622"/>
        <v>4.6965514810739815E-2</v>
      </c>
      <c r="P801" s="30">
        <f t="shared" si="622"/>
        <v>4.6815121302485573E-2</v>
      </c>
      <c r="Q801" s="30">
        <f t="shared" si="622"/>
        <v>4.6308540665006427E-2</v>
      </c>
      <c r="R801" s="30">
        <f t="shared" si="622"/>
        <v>4.5306247554711451E-2</v>
      </c>
      <c r="S801" s="30">
        <f t="shared" si="622"/>
        <v>4.5638952024148666E-2</v>
      </c>
      <c r="T801" s="30">
        <f t="shared" si="622"/>
        <v>4.6010159243482888E-2</v>
      </c>
      <c r="U801" s="30">
        <f t="shared" si="622"/>
        <v>4.6323974721434222E-2</v>
      </c>
      <c r="V801" s="30">
        <f t="shared" si="622"/>
        <v>4.4298211543241033E-2</v>
      </c>
      <c r="W801" s="30">
        <f t="shared" si="622"/>
        <v>4.4509639944457342E-2</v>
      </c>
      <c r="X801" s="30">
        <f t="shared" si="622"/>
        <v>4.6712270296537198E-2</v>
      </c>
      <c r="Y801" s="30">
        <f t="shared" si="622"/>
        <v>4.6765890723670919E-2</v>
      </c>
      <c r="Z801" s="30">
        <f t="shared" si="622"/>
        <v>4.5896812581270416E-2</v>
      </c>
      <c r="AA801" s="30">
        <f t="shared" si="622"/>
        <v>0.17248287118845698</v>
      </c>
      <c r="AB801" s="30">
        <f t="shared" si="622"/>
        <v>0.17263662792086854</v>
      </c>
      <c r="AC801" s="30">
        <f t="shared" si="622"/>
        <v>0.17264451717409082</v>
      </c>
      <c r="AD801" s="30">
        <f t="shared" si="622"/>
        <v>0.17268002399852839</v>
      </c>
      <c r="AE801" s="30">
        <f t="shared" si="622"/>
        <v>0.1724671102673542</v>
      </c>
      <c r="AF801" s="30">
        <f t="shared" si="622"/>
        <v>0.17267607837678914</v>
      </c>
      <c r="AG801" s="26"/>
    </row>
    <row r="802" spans="1:33" s="221" customFormat="1" x14ac:dyDescent="0.2">
      <c r="A802" s="4" t="s">
        <v>97</v>
      </c>
      <c r="B802" s="237"/>
      <c r="C802" s="515">
        <f>IF(C$729&gt;C801,C798+((C799-C798)/2),C798-((C798-C800)/2))</f>
        <v>113134384.15527344</v>
      </c>
      <c r="D802" s="515">
        <f t="shared" ref="D802:AF802" si="623">IF(D$729&gt;D801,D798+((D799-D798)/2),D798-((D798-D800)/2))</f>
        <v>-3179159164.4287109</v>
      </c>
      <c r="E802" s="515">
        <f t="shared" si="623"/>
        <v>-169305801.39160156</v>
      </c>
      <c r="F802" s="515">
        <f t="shared" si="623"/>
        <v>151472091.67480469</v>
      </c>
      <c r="G802" s="515">
        <f t="shared" si="623"/>
        <v>-1101942062.3779297</v>
      </c>
      <c r="H802" s="515">
        <f t="shared" si="623"/>
        <v>104265213.01269531</v>
      </c>
      <c r="I802" s="515">
        <f t="shared" si="623"/>
        <v>-47254562.377929688</v>
      </c>
      <c r="J802" s="515">
        <f t="shared" si="623"/>
        <v>410509109.49707031</v>
      </c>
      <c r="K802" s="515">
        <f t="shared" si="623"/>
        <v>51221847.534179688</v>
      </c>
      <c r="L802" s="515">
        <f t="shared" si="623"/>
        <v>51622390.747070312</v>
      </c>
      <c r="M802" s="515">
        <f t="shared" si="623"/>
        <v>50706863.403320312</v>
      </c>
      <c r="N802" s="515">
        <f t="shared" si="623"/>
        <v>48818588.256835938</v>
      </c>
      <c r="O802" s="515">
        <f t="shared" si="623"/>
        <v>47502517.700195312</v>
      </c>
      <c r="P802" s="515">
        <f t="shared" si="623"/>
        <v>39777755.737304688</v>
      </c>
      <c r="Q802" s="515">
        <f t="shared" si="623"/>
        <v>13742446.899414062</v>
      </c>
      <c r="R802" s="515">
        <f t="shared" si="623"/>
        <v>-39129257.202148438</v>
      </c>
      <c r="S802" s="515">
        <f t="shared" si="623"/>
        <v>-21390914.916992188</v>
      </c>
      <c r="T802" s="515">
        <f t="shared" si="623"/>
        <v>-1821517.9443359375</v>
      </c>
      <c r="U802" s="515">
        <f t="shared" si="623"/>
        <v>14543533.325195312</v>
      </c>
      <c r="V802" s="515">
        <f t="shared" si="623"/>
        <v>-94060897.827148438</v>
      </c>
      <c r="W802" s="515">
        <f t="shared" si="623"/>
        <v>-82387924.194335938</v>
      </c>
      <c r="X802" s="515">
        <f t="shared" si="623"/>
        <v>34570693.969726562</v>
      </c>
      <c r="Y802" s="515">
        <f t="shared" si="623"/>
        <v>37317276.000976562</v>
      </c>
      <c r="Z802" s="515">
        <f t="shared" si="623"/>
        <v>-7772445.6787109375</v>
      </c>
      <c r="AA802" s="515">
        <f t="shared" si="623"/>
        <v>2581872940.0634766</v>
      </c>
      <c r="AB802" s="515">
        <f t="shared" si="623"/>
        <v>2583360671.9970703</v>
      </c>
      <c r="AC802" s="515">
        <f t="shared" si="623"/>
        <v>2583456039.4287109</v>
      </c>
      <c r="AD802" s="515">
        <f t="shared" si="623"/>
        <v>2583799362.1826172</v>
      </c>
      <c r="AE802" s="515">
        <f t="shared" si="623"/>
        <v>2581720352.1728516</v>
      </c>
      <c r="AF802" s="515">
        <f t="shared" si="623"/>
        <v>2583742141.7236328</v>
      </c>
      <c r="AG802" s="86"/>
    </row>
    <row r="803" spans="1:33" s="221" customFormat="1" x14ac:dyDescent="0.2">
      <c r="A803" s="4" t="s">
        <v>98</v>
      </c>
      <c r="B803" s="237"/>
      <c r="C803" s="515">
        <f>IF(C$729&lt;C801,C798,C799)</f>
        <v>113162994.38476562</v>
      </c>
      <c r="D803" s="515">
        <f t="shared" ref="D803:AF803" si="624">IF(D$729&lt;D801,D798,D799)</f>
        <v>-3179130554.1992188</v>
      </c>
      <c r="E803" s="515">
        <f t="shared" si="624"/>
        <v>-169277191.16210938</v>
      </c>
      <c r="F803" s="515">
        <f t="shared" si="624"/>
        <v>151500701.90429688</v>
      </c>
      <c r="G803" s="515">
        <f t="shared" si="624"/>
        <v>-1101913452.1484375</v>
      </c>
      <c r="H803" s="515">
        <f t="shared" si="624"/>
        <v>104293823.2421875</v>
      </c>
      <c r="I803" s="515">
        <f t="shared" si="624"/>
        <v>-47225952.1484375</v>
      </c>
      <c r="J803" s="515">
        <f t="shared" si="624"/>
        <v>410537719.7265625</v>
      </c>
      <c r="K803" s="515">
        <f t="shared" si="624"/>
        <v>51250457.763671875</v>
      </c>
      <c r="L803" s="515">
        <f t="shared" si="624"/>
        <v>51651000.9765625</v>
      </c>
      <c r="M803" s="515">
        <f t="shared" si="624"/>
        <v>50735473.6328125</v>
      </c>
      <c r="N803" s="515">
        <f t="shared" si="624"/>
        <v>48847198.486328125</v>
      </c>
      <c r="O803" s="515">
        <f t="shared" si="624"/>
        <v>47531127.9296875</v>
      </c>
      <c r="P803" s="515">
        <f t="shared" si="624"/>
        <v>39806365.966796875</v>
      </c>
      <c r="Q803" s="515">
        <f t="shared" si="624"/>
        <v>13771057.12890625</v>
      </c>
      <c r="R803" s="515">
        <f t="shared" si="624"/>
        <v>-39100646.97265625</v>
      </c>
      <c r="S803" s="515">
        <f t="shared" si="624"/>
        <v>-21362304.6875</v>
      </c>
      <c r="T803" s="515">
        <f t="shared" si="624"/>
        <v>-1792907.71484375</v>
      </c>
      <c r="U803" s="515">
        <f t="shared" si="624"/>
        <v>14572143.5546875</v>
      </c>
      <c r="V803" s="515">
        <f t="shared" si="624"/>
        <v>-94032287.59765625</v>
      </c>
      <c r="W803" s="515">
        <f t="shared" si="624"/>
        <v>-82359313.96484375</v>
      </c>
      <c r="X803" s="515">
        <f t="shared" si="624"/>
        <v>34599304.19921875</v>
      </c>
      <c r="Y803" s="515">
        <f t="shared" si="624"/>
        <v>37345886.23046875</v>
      </c>
      <c r="Z803" s="515">
        <f t="shared" si="624"/>
        <v>-7743835.44921875</v>
      </c>
      <c r="AA803" s="515">
        <f t="shared" si="624"/>
        <v>2581882476.8066406</v>
      </c>
      <c r="AB803" s="515">
        <f t="shared" si="624"/>
        <v>2583370208.7402344</v>
      </c>
      <c r="AC803" s="515">
        <f t="shared" si="624"/>
        <v>2583465576.171875</v>
      </c>
      <c r="AD803" s="515">
        <f t="shared" si="624"/>
        <v>2583808898.9257812</v>
      </c>
      <c r="AE803" s="515">
        <f t="shared" si="624"/>
        <v>2581729888.9160156</v>
      </c>
      <c r="AF803" s="515">
        <f t="shared" si="624"/>
        <v>2583751678.4667969</v>
      </c>
      <c r="AG803" s="86"/>
    </row>
    <row r="804" spans="1:33" s="221" customFormat="1" x14ac:dyDescent="0.2">
      <c r="A804" s="4" t="s">
        <v>99</v>
      </c>
      <c r="B804" s="237"/>
      <c r="C804" s="515">
        <f>IF(C$729&gt;C801,C798,C800)</f>
        <v>113105773.92578125</v>
      </c>
      <c r="D804" s="515">
        <f t="shared" ref="D804:AF804" si="625">IF(D$729&gt;D801,D798,D800)</f>
        <v>-3179187774.6582031</v>
      </c>
      <c r="E804" s="515">
        <f t="shared" si="625"/>
        <v>-169334411.62109375</v>
      </c>
      <c r="F804" s="515">
        <f t="shared" si="625"/>
        <v>151443481.4453125</v>
      </c>
      <c r="G804" s="515">
        <f t="shared" si="625"/>
        <v>-1101970672.6074219</v>
      </c>
      <c r="H804" s="515">
        <f t="shared" si="625"/>
        <v>104236602.78320312</v>
      </c>
      <c r="I804" s="515">
        <f t="shared" si="625"/>
        <v>-47283172.607421875</v>
      </c>
      <c r="J804" s="515">
        <f t="shared" si="625"/>
        <v>410480499.26757812</v>
      </c>
      <c r="K804" s="515">
        <f t="shared" si="625"/>
        <v>51193237.3046875</v>
      </c>
      <c r="L804" s="515">
        <f t="shared" si="625"/>
        <v>51593780.517578125</v>
      </c>
      <c r="M804" s="515">
        <f t="shared" si="625"/>
        <v>50678253.173828125</v>
      </c>
      <c r="N804" s="515">
        <f t="shared" si="625"/>
        <v>48789978.02734375</v>
      </c>
      <c r="O804" s="515">
        <f t="shared" si="625"/>
        <v>47473907.470703125</v>
      </c>
      <c r="P804" s="515">
        <f t="shared" si="625"/>
        <v>39749145.5078125</v>
      </c>
      <c r="Q804" s="515">
        <f t="shared" si="625"/>
        <v>13713836.669921875</v>
      </c>
      <c r="R804" s="515">
        <f t="shared" si="625"/>
        <v>-39157867.431640625</v>
      </c>
      <c r="S804" s="515">
        <f t="shared" si="625"/>
        <v>-21419525.146484375</v>
      </c>
      <c r="T804" s="515">
        <f t="shared" si="625"/>
        <v>-1850128.173828125</v>
      </c>
      <c r="U804" s="515">
        <f t="shared" si="625"/>
        <v>14514923.095703125</v>
      </c>
      <c r="V804" s="515">
        <f t="shared" si="625"/>
        <v>-94089508.056640625</v>
      </c>
      <c r="W804" s="515">
        <f t="shared" si="625"/>
        <v>-82416534.423828125</v>
      </c>
      <c r="X804" s="515">
        <f t="shared" si="625"/>
        <v>34542083.740234375</v>
      </c>
      <c r="Y804" s="515">
        <f t="shared" si="625"/>
        <v>37288665.771484375</v>
      </c>
      <c r="Z804" s="515">
        <f t="shared" si="625"/>
        <v>-7801055.908203125</v>
      </c>
      <c r="AA804" s="515">
        <f t="shared" si="625"/>
        <v>2581863403.3203125</v>
      </c>
      <c r="AB804" s="515">
        <f t="shared" si="625"/>
        <v>2583351135.2539062</v>
      </c>
      <c r="AC804" s="515">
        <f t="shared" si="625"/>
        <v>2583446502.6855469</v>
      </c>
      <c r="AD804" s="515">
        <f t="shared" si="625"/>
        <v>2583789825.4394531</v>
      </c>
      <c r="AE804" s="515">
        <f t="shared" si="625"/>
        <v>2581710815.4296875</v>
      </c>
      <c r="AF804" s="515">
        <f t="shared" si="625"/>
        <v>2583732604.9804688</v>
      </c>
      <c r="AG804" s="86"/>
    </row>
    <row r="805" spans="1:33" s="220" customFormat="1" x14ac:dyDescent="0.2">
      <c r="A805" s="4" t="s">
        <v>100</v>
      </c>
      <c r="B805" s="236"/>
      <c r="C805" s="30">
        <f t="shared" ref="C805:AF805" si="626">(1/C245)*((EXP(C$241*C802)-1)/(EXP(C$242*C802)-1))</f>
        <v>4.828250292514967E-2</v>
      </c>
      <c r="D805" s="30">
        <f t="shared" si="626"/>
        <v>1.7815914887258571E-2</v>
      </c>
      <c r="E805" s="30">
        <f t="shared" si="626"/>
        <v>4.2970783870266351E-2</v>
      </c>
      <c r="F805" s="30">
        <f t="shared" si="626"/>
        <v>4.9076180629501143E-2</v>
      </c>
      <c r="G805" s="30">
        <f t="shared" si="626"/>
        <v>3.0565092767253763E-2</v>
      </c>
      <c r="H805" s="30">
        <f t="shared" si="626"/>
        <v>4.8101519858547617E-2</v>
      </c>
      <c r="I805" s="30">
        <f t="shared" si="626"/>
        <v>4.5155563564206934E-2</v>
      </c>
      <c r="J805" s="30">
        <f t="shared" si="626"/>
        <v>5.4957859047949205E-2</v>
      </c>
      <c r="K805" s="30">
        <f t="shared" si="626"/>
        <v>4.703928306685181E-2</v>
      </c>
      <c r="L805" s="30">
        <f t="shared" si="626"/>
        <v>4.7047176627722335E-2</v>
      </c>
      <c r="M805" s="30">
        <f t="shared" si="626"/>
        <v>4.7029137022633623E-2</v>
      </c>
      <c r="N805" s="30">
        <f t="shared" si="626"/>
        <v>4.6991961983515122E-2</v>
      </c>
      <c r="O805" s="30">
        <f t="shared" si="626"/>
        <v>4.6966077291849317E-2</v>
      </c>
      <c r="P805" s="30">
        <f t="shared" si="626"/>
        <v>4.6814561441698405E-2</v>
      </c>
      <c r="Q805" s="30">
        <f t="shared" si="626"/>
        <v>4.6309091752414495E-2</v>
      </c>
      <c r="R805" s="30">
        <f t="shared" si="626"/>
        <v>4.5306781312577253E-2</v>
      </c>
      <c r="S805" s="30">
        <f t="shared" si="626"/>
        <v>4.563949152723263E-2</v>
      </c>
      <c r="T805" s="30">
        <f t="shared" si="626"/>
        <v>4.6010705165147499E-2</v>
      </c>
      <c r="U805" s="30">
        <f t="shared" si="626"/>
        <v>4.6324526076201064E-2</v>
      </c>
      <c r="V805" s="30">
        <f t="shared" si="626"/>
        <v>4.4298727938989924E-2</v>
      </c>
      <c r="W805" s="30">
        <f t="shared" si="626"/>
        <v>4.4510159976111199E-2</v>
      </c>
      <c r="X805" s="30">
        <f t="shared" si="626"/>
        <v>4.6712828382509265E-2</v>
      </c>
      <c r="Y805" s="30">
        <f t="shared" si="626"/>
        <v>4.6766449739910544E-2</v>
      </c>
      <c r="Z805" s="30">
        <f t="shared" si="626"/>
        <v>4.5897356542103883E-2</v>
      </c>
      <c r="AA805" s="30">
        <f t="shared" si="626"/>
        <v>0.17248188608184997</v>
      </c>
      <c r="AB805" s="30">
        <f t="shared" si="626"/>
        <v>0.17263564179367252</v>
      </c>
      <c r="AC805" s="30">
        <f t="shared" si="626"/>
        <v>0.1726455033602011</v>
      </c>
      <c r="AD805" s="30">
        <f t="shared" si="626"/>
        <v>0.17268101042033271</v>
      </c>
      <c r="AE805" s="30">
        <f t="shared" si="626"/>
        <v>0.17246612526535976</v>
      </c>
      <c r="AF805" s="30">
        <f t="shared" si="626"/>
        <v>0.17267509198772354</v>
      </c>
      <c r="AG805" s="26"/>
    </row>
    <row r="806" spans="1:33" s="221" customFormat="1" x14ac:dyDescent="0.2">
      <c r="A806" s="4" t="s">
        <v>97</v>
      </c>
      <c r="B806" s="237"/>
      <c r="C806" s="515">
        <f>IF(C$729&gt;C805,C802+((C803-C802)/2),C802-((C802-C804)/2))</f>
        <v>113120079.04052734</v>
      </c>
      <c r="D806" s="515">
        <f t="shared" ref="D806:AF806" si="627">IF(D$729&gt;D805,D802+((D803-D802)/2),D802-((D802-D804)/2))</f>
        <v>-3179173469.543457</v>
      </c>
      <c r="E806" s="515">
        <f t="shared" si="627"/>
        <v>-169291496.27685547</v>
      </c>
      <c r="F806" s="515">
        <f t="shared" si="627"/>
        <v>151486396.78955078</v>
      </c>
      <c r="G806" s="515">
        <f t="shared" si="627"/>
        <v>-1101956367.4926758</v>
      </c>
      <c r="H806" s="515">
        <f t="shared" si="627"/>
        <v>104250907.89794922</v>
      </c>
      <c r="I806" s="515">
        <f t="shared" si="627"/>
        <v>-47240257.263183594</v>
      </c>
      <c r="J806" s="515">
        <f t="shared" si="627"/>
        <v>410523414.61181641</v>
      </c>
      <c r="K806" s="515">
        <f t="shared" si="627"/>
        <v>51207542.419433594</v>
      </c>
      <c r="L806" s="515">
        <f t="shared" si="627"/>
        <v>51608085.632324219</v>
      </c>
      <c r="M806" s="515">
        <f t="shared" si="627"/>
        <v>50692558.288574219</v>
      </c>
      <c r="N806" s="515">
        <f t="shared" si="627"/>
        <v>48832893.371582031</v>
      </c>
      <c r="O806" s="515">
        <f t="shared" si="627"/>
        <v>47488212.585449219</v>
      </c>
      <c r="P806" s="515">
        <f t="shared" si="627"/>
        <v>39792060.852050781</v>
      </c>
      <c r="Q806" s="515">
        <f t="shared" si="627"/>
        <v>13756752.014160156</v>
      </c>
      <c r="R806" s="515">
        <f t="shared" si="627"/>
        <v>-39114952.087402344</v>
      </c>
      <c r="S806" s="515">
        <f t="shared" si="627"/>
        <v>-21405220.031738281</v>
      </c>
      <c r="T806" s="515">
        <f t="shared" si="627"/>
        <v>-1835823.0590820312</v>
      </c>
      <c r="U806" s="515">
        <f t="shared" si="627"/>
        <v>14557838.439941406</v>
      </c>
      <c r="V806" s="515">
        <f t="shared" si="627"/>
        <v>-94075202.941894531</v>
      </c>
      <c r="W806" s="515">
        <f t="shared" si="627"/>
        <v>-82373619.079589844</v>
      </c>
      <c r="X806" s="515">
        <f t="shared" si="627"/>
        <v>34584999.084472656</v>
      </c>
      <c r="Y806" s="515">
        <f t="shared" si="627"/>
        <v>37331581.115722656</v>
      </c>
      <c r="Z806" s="515">
        <f t="shared" si="627"/>
        <v>-7758140.5639648438</v>
      </c>
      <c r="AA806" s="515">
        <f t="shared" si="627"/>
        <v>2581868171.6918945</v>
      </c>
      <c r="AB806" s="515">
        <f t="shared" si="627"/>
        <v>2583355903.6254883</v>
      </c>
      <c r="AC806" s="515">
        <f t="shared" si="627"/>
        <v>2583451271.0571289</v>
      </c>
      <c r="AD806" s="515">
        <f t="shared" si="627"/>
        <v>2583794593.8110352</v>
      </c>
      <c r="AE806" s="515">
        <f t="shared" si="627"/>
        <v>2581715583.8012695</v>
      </c>
      <c r="AF806" s="515">
        <f t="shared" si="627"/>
        <v>2583746910.0952148</v>
      </c>
      <c r="AG806" s="86"/>
    </row>
    <row r="807" spans="1:33" s="221" customFormat="1" x14ac:dyDescent="0.2">
      <c r="A807" s="4" t="s">
        <v>98</v>
      </c>
      <c r="B807" s="237"/>
      <c r="C807" s="515">
        <f>IF(C$729&lt;C805,C802,C803)</f>
        <v>113134384.15527344</v>
      </c>
      <c r="D807" s="515">
        <f t="shared" ref="D807:AF807" si="628">IF(D$729&lt;D805,D802,D803)</f>
        <v>-3179159164.4287109</v>
      </c>
      <c r="E807" s="515">
        <f t="shared" si="628"/>
        <v>-169277191.16210938</v>
      </c>
      <c r="F807" s="515">
        <f t="shared" si="628"/>
        <v>151500701.90429688</v>
      </c>
      <c r="G807" s="515">
        <f t="shared" si="628"/>
        <v>-1101942062.3779297</v>
      </c>
      <c r="H807" s="515">
        <f t="shared" si="628"/>
        <v>104265213.01269531</v>
      </c>
      <c r="I807" s="515">
        <f t="shared" si="628"/>
        <v>-47225952.1484375</v>
      </c>
      <c r="J807" s="515">
        <f t="shared" si="628"/>
        <v>410537719.7265625</v>
      </c>
      <c r="K807" s="515">
        <f t="shared" si="628"/>
        <v>51221847.534179688</v>
      </c>
      <c r="L807" s="515">
        <f t="shared" si="628"/>
        <v>51622390.747070312</v>
      </c>
      <c r="M807" s="515">
        <f t="shared" si="628"/>
        <v>50706863.403320312</v>
      </c>
      <c r="N807" s="515">
        <f t="shared" si="628"/>
        <v>48847198.486328125</v>
      </c>
      <c r="O807" s="515">
        <f t="shared" si="628"/>
        <v>47502517.700195312</v>
      </c>
      <c r="P807" s="515">
        <f t="shared" si="628"/>
        <v>39806365.966796875</v>
      </c>
      <c r="Q807" s="515">
        <f t="shared" si="628"/>
        <v>13771057.12890625</v>
      </c>
      <c r="R807" s="515">
        <f t="shared" si="628"/>
        <v>-39100646.97265625</v>
      </c>
      <c r="S807" s="515">
        <f t="shared" si="628"/>
        <v>-21390914.916992188</v>
      </c>
      <c r="T807" s="515">
        <f t="shared" si="628"/>
        <v>-1821517.9443359375</v>
      </c>
      <c r="U807" s="515">
        <f t="shared" si="628"/>
        <v>14572143.5546875</v>
      </c>
      <c r="V807" s="515">
        <f t="shared" si="628"/>
        <v>-94060897.827148438</v>
      </c>
      <c r="W807" s="515">
        <f t="shared" si="628"/>
        <v>-82359313.96484375</v>
      </c>
      <c r="X807" s="515">
        <f t="shared" si="628"/>
        <v>34599304.19921875</v>
      </c>
      <c r="Y807" s="515">
        <f t="shared" si="628"/>
        <v>37345886.23046875</v>
      </c>
      <c r="Z807" s="515">
        <f t="shared" si="628"/>
        <v>-7743835.44921875</v>
      </c>
      <c r="AA807" s="515">
        <f t="shared" si="628"/>
        <v>2581872940.0634766</v>
      </c>
      <c r="AB807" s="515">
        <f t="shared" si="628"/>
        <v>2583360671.9970703</v>
      </c>
      <c r="AC807" s="515">
        <f t="shared" si="628"/>
        <v>2583456039.4287109</v>
      </c>
      <c r="AD807" s="515">
        <f t="shared" si="628"/>
        <v>2583799362.1826172</v>
      </c>
      <c r="AE807" s="515">
        <f t="shared" si="628"/>
        <v>2581720352.1728516</v>
      </c>
      <c r="AF807" s="515">
        <f t="shared" si="628"/>
        <v>2583751678.4667969</v>
      </c>
      <c r="AG807" s="86"/>
    </row>
    <row r="808" spans="1:33" s="221" customFormat="1" x14ac:dyDescent="0.2">
      <c r="A808" s="4" t="s">
        <v>99</v>
      </c>
      <c r="B808" s="237"/>
      <c r="C808" s="515">
        <f>IF(C$729&gt;C805,C802,C804)</f>
        <v>113105773.92578125</v>
      </c>
      <c r="D808" s="515">
        <f t="shared" ref="D808:AF808" si="629">IF(D$729&gt;D805,D802,D804)</f>
        <v>-3179187774.6582031</v>
      </c>
      <c r="E808" s="515">
        <f t="shared" si="629"/>
        <v>-169305801.39160156</v>
      </c>
      <c r="F808" s="515">
        <f t="shared" si="629"/>
        <v>151472091.67480469</v>
      </c>
      <c r="G808" s="515">
        <f t="shared" si="629"/>
        <v>-1101970672.6074219</v>
      </c>
      <c r="H808" s="515">
        <f t="shared" si="629"/>
        <v>104236602.78320312</v>
      </c>
      <c r="I808" s="515">
        <f t="shared" si="629"/>
        <v>-47254562.377929688</v>
      </c>
      <c r="J808" s="515">
        <f t="shared" si="629"/>
        <v>410509109.49707031</v>
      </c>
      <c r="K808" s="515">
        <f t="shared" si="629"/>
        <v>51193237.3046875</v>
      </c>
      <c r="L808" s="515">
        <f t="shared" si="629"/>
        <v>51593780.517578125</v>
      </c>
      <c r="M808" s="515">
        <f t="shared" si="629"/>
        <v>50678253.173828125</v>
      </c>
      <c r="N808" s="515">
        <f t="shared" si="629"/>
        <v>48818588.256835938</v>
      </c>
      <c r="O808" s="515">
        <f t="shared" si="629"/>
        <v>47473907.470703125</v>
      </c>
      <c r="P808" s="515">
        <f t="shared" si="629"/>
        <v>39777755.737304688</v>
      </c>
      <c r="Q808" s="515">
        <f t="shared" si="629"/>
        <v>13742446.899414062</v>
      </c>
      <c r="R808" s="515">
        <f t="shared" si="629"/>
        <v>-39129257.202148438</v>
      </c>
      <c r="S808" s="515">
        <f t="shared" si="629"/>
        <v>-21419525.146484375</v>
      </c>
      <c r="T808" s="515">
        <f t="shared" si="629"/>
        <v>-1850128.173828125</v>
      </c>
      <c r="U808" s="515">
        <f t="shared" si="629"/>
        <v>14543533.325195312</v>
      </c>
      <c r="V808" s="515">
        <f t="shared" si="629"/>
        <v>-94089508.056640625</v>
      </c>
      <c r="W808" s="515">
        <f t="shared" si="629"/>
        <v>-82387924.194335938</v>
      </c>
      <c r="X808" s="515">
        <f t="shared" si="629"/>
        <v>34570693.969726562</v>
      </c>
      <c r="Y808" s="515">
        <f t="shared" si="629"/>
        <v>37317276.000976562</v>
      </c>
      <c r="Z808" s="515">
        <f t="shared" si="629"/>
        <v>-7772445.6787109375</v>
      </c>
      <c r="AA808" s="515">
        <f t="shared" si="629"/>
        <v>2581863403.3203125</v>
      </c>
      <c r="AB808" s="515">
        <f t="shared" si="629"/>
        <v>2583351135.2539062</v>
      </c>
      <c r="AC808" s="515">
        <f t="shared" si="629"/>
        <v>2583446502.6855469</v>
      </c>
      <c r="AD808" s="515">
        <f t="shared" si="629"/>
        <v>2583789825.4394531</v>
      </c>
      <c r="AE808" s="515">
        <f t="shared" si="629"/>
        <v>2581710815.4296875</v>
      </c>
      <c r="AF808" s="515">
        <f t="shared" si="629"/>
        <v>2583742141.7236328</v>
      </c>
      <c r="AG808" s="86"/>
    </row>
    <row r="809" spans="1:33" s="220" customFormat="1" x14ac:dyDescent="0.2">
      <c r="A809" s="4" t="s">
        <v>100</v>
      </c>
      <c r="B809" s="236"/>
      <c r="C809" s="30">
        <f t="shared" ref="C809:AF809" si="630">(1/C245)*((EXP(C$241*C806)-1)/(EXP(C$242*C806)-1))</f>
        <v>4.828221022850622E-2</v>
      </c>
      <c r="D809" s="30">
        <f t="shared" si="630"/>
        <v>1.7815864334006316E-2</v>
      </c>
      <c r="E809" s="30">
        <f t="shared" si="630"/>
        <v>4.2971030688793363E-2</v>
      </c>
      <c r="F809" s="30">
        <f t="shared" si="630"/>
        <v>4.9076480259770162E-2</v>
      </c>
      <c r="G809" s="30">
        <f t="shared" si="630"/>
        <v>3.0564948608682158E-2</v>
      </c>
      <c r="H809" s="30">
        <f t="shared" si="630"/>
        <v>4.8101228739808835E-2</v>
      </c>
      <c r="I809" s="30">
        <f t="shared" si="630"/>
        <v>4.5155829142167724E-2</v>
      </c>
      <c r="J809" s="30">
        <f t="shared" si="630"/>
        <v>5.4958210573281242E-2</v>
      </c>
      <c r="K809" s="30">
        <f t="shared" si="630"/>
        <v>4.7039001189458828E-2</v>
      </c>
      <c r="L809" s="30">
        <f t="shared" si="630"/>
        <v>4.7046894681784017E-2</v>
      </c>
      <c r="M809" s="30">
        <f t="shared" si="630"/>
        <v>4.7028855233344657E-2</v>
      </c>
      <c r="N809" s="30">
        <f t="shared" si="630"/>
        <v>4.6992243452462355E-2</v>
      </c>
      <c r="O809" s="30">
        <f t="shared" si="630"/>
        <v>4.6965796050074497E-2</v>
      </c>
      <c r="P809" s="30">
        <f t="shared" si="630"/>
        <v>4.6814841370877998E-2</v>
      </c>
      <c r="Q809" s="30">
        <f t="shared" si="630"/>
        <v>4.6309367299701941E-2</v>
      </c>
      <c r="R809" s="30">
        <f t="shared" si="630"/>
        <v>4.5307048194964873E-2</v>
      </c>
      <c r="S809" s="30">
        <f t="shared" si="630"/>
        <v>4.5639221774524785E-2</v>
      </c>
      <c r="T809" s="30">
        <f t="shared" si="630"/>
        <v>4.6010432203132189E-2</v>
      </c>
      <c r="U809" s="30">
        <f t="shared" si="630"/>
        <v>4.6324801757165614E-2</v>
      </c>
      <c r="V809" s="30">
        <f t="shared" si="630"/>
        <v>4.4298469740006022E-2</v>
      </c>
      <c r="W809" s="30">
        <f t="shared" si="630"/>
        <v>4.4510419995293274E-2</v>
      </c>
      <c r="X809" s="30">
        <f t="shared" si="630"/>
        <v>4.6713107429125253E-2</v>
      </c>
      <c r="Y809" s="30">
        <f t="shared" si="630"/>
        <v>4.6766729251666354E-2</v>
      </c>
      <c r="Z809" s="30">
        <f t="shared" si="630"/>
        <v>4.5897628526047313E-2</v>
      </c>
      <c r="AA809" s="30">
        <f t="shared" si="630"/>
        <v>0.17248139353099834</v>
      </c>
      <c r="AB809" s="30">
        <f t="shared" si="630"/>
        <v>0.17263514873252914</v>
      </c>
      <c r="AC809" s="30">
        <f t="shared" si="630"/>
        <v>0.1726450102663277</v>
      </c>
      <c r="AD809" s="30">
        <f t="shared" si="630"/>
        <v>0.17268051720861202</v>
      </c>
      <c r="AE809" s="30">
        <f t="shared" si="630"/>
        <v>0.17246563276681426</v>
      </c>
      <c r="AF809" s="30">
        <f t="shared" si="630"/>
        <v>0.17267558518143783</v>
      </c>
      <c r="AG809" s="26"/>
    </row>
    <row r="810" spans="1:33" s="221" customFormat="1" x14ac:dyDescent="0.2">
      <c r="A810" s="4" t="s">
        <v>97</v>
      </c>
      <c r="B810" s="237"/>
      <c r="C810" s="515">
        <f>IF(C$729&gt;C809,C806+((C807-C806)/2),C806-((C806-C808)/2))</f>
        <v>113112926.4831543</v>
      </c>
      <c r="D810" s="515">
        <f t="shared" ref="D810:AF810" si="631">IF(D$729&gt;D809,D806+((D807-D806)/2),D806-((D806-D808)/2))</f>
        <v>-3179180622.1008301</v>
      </c>
      <c r="E810" s="515">
        <f t="shared" si="631"/>
        <v>-169284343.71948242</v>
      </c>
      <c r="F810" s="515">
        <f t="shared" si="631"/>
        <v>151493549.34692383</v>
      </c>
      <c r="G810" s="515">
        <f t="shared" si="631"/>
        <v>-1101949214.9353027</v>
      </c>
      <c r="H810" s="515">
        <f t="shared" si="631"/>
        <v>104258060.45532227</v>
      </c>
      <c r="I810" s="515">
        <f t="shared" si="631"/>
        <v>-47233104.705810547</v>
      </c>
      <c r="J810" s="515">
        <f t="shared" si="631"/>
        <v>410516262.05444336</v>
      </c>
      <c r="K810" s="515">
        <f t="shared" si="631"/>
        <v>51214694.976806641</v>
      </c>
      <c r="L810" s="515">
        <f t="shared" si="631"/>
        <v>51615238.189697266</v>
      </c>
      <c r="M810" s="515">
        <f t="shared" si="631"/>
        <v>50685405.731201172</v>
      </c>
      <c r="N810" s="515">
        <f t="shared" si="631"/>
        <v>48840045.928955078</v>
      </c>
      <c r="O810" s="515">
        <f t="shared" si="631"/>
        <v>47495365.142822266</v>
      </c>
      <c r="P810" s="515">
        <f t="shared" si="631"/>
        <v>39799213.409423828</v>
      </c>
      <c r="Q810" s="515">
        <f t="shared" si="631"/>
        <v>13763904.571533203</v>
      </c>
      <c r="R810" s="515">
        <f t="shared" si="631"/>
        <v>-39107799.530029297</v>
      </c>
      <c r="S810" s="515">
        <f t="shared" si="631"/>
        <v>-21398067.474365234</v>
      </c>
      <c r="T810" s="515">
        <f t="shared" si="631"/>
        <v>-1842975.6164550781</v>
      </c>
      <c r="U810" s="515">
        <f t="shared" si="631"/>
        <v>14564990.997314453</v>
      </c>
      <c r="V810" s="515">
        <f t="shared" si="631"/>
        <v>-94068050.384521484</v>
      </c>
      <c r="W810" s="515">
        <f t="shared" si="631"/>
        <v>-82366466.522216797</v>
      </c>
      <c r="X810" s="515">
        <f t="shared" si="631"/>
        <v>34592151.641845703</v>
      </c>
      <c r="Y810" s="515">
        <f t="shared" si="631"/>
        <v>37338733.673095703</v>
      </c>
      <c r="Z810" s="515">
        <f t="shared" si="631"/>
        <v>-7750988.0065917969</v>
      </c>
      <c r="AA810" s="515">
        <f t="shared" si="631"/>
        <v>2581865787.5061035</v>
      </c>
      <c r="AB810" s="515">
        <f t="shared" si="631"/>
        <v>2583353519.4396973</v>
      </c>
      <c r="AC810" s="515">
        <f t="shared" si="631"/>
        <v>2583448886.8713379</v>
      </c>
      <c r="AD810" s="515">
        <f t="shared" si="631"/>
        <v>2583792209.6252441</v>
      </c>
      <c r="AE810" s="515">
        <f t="shared" si="631"/>
        <v>2581713199.6154785</v>
      </c>
      <c r="AF810" s="515">
        <f t="shared" si="631"/>
        <v>2583744525.9094238</v>
      </c>
      <c r="AG810" s="86"/>
    </row>
    <row r="811" spans="1:33" s="221" customFormat="1" x14ac:dyDescent="0.2">
      <c r="A811" s="4" t="s">
        <v>98</v>
      </c>
      <c r="B811" s="237"/>
      <c r="C811" s="515">
        <f>IF(C$729&lt;C809,C806,C807)</f>
        <v>113120079.04052734</v>
      </c>
      <c r="D811" s="515">
        <f t="shared" ref="D811:AF811" si="632">IF(D$729&lt;D809,D806,D807)</f>
        <v>-3179173469.543457</v>
      </c>
      <c r="E811" s="515">
        <f t="shared" si="632"/>
        <v>-169277191.16210938</v>
      </c>
      <c r="F811" s="515">
        <f t="shared" si="632"/>
        <v>151500701.90429688</v>
      </c>
      <c r="G811" s="515">
        <f t="shared" si="632"/>
        <v>-1101942062.3779297</v>
      </c>
      <c r="H811" s="515">
        <f t="shared" si="632"/>
        <v>104265213.01269531</v>
      </c>
      <c r="I811" s="515">
        <f t="shared" si="632"/>
        <v>-47225952.1484375</v>
      </c>
      <c r="J811" s="515">
        <f t="shared" si="632"/>
        <v>410523414.61181641</v>
      </c>
      <c r="K811" s="515">
        <f t="shared" si="632"/>
        <v>51221847.534179688</v>
      </c>
      <c r="L811" s="515">
        <f t="shared" si="632"/>
        <v>51622390.747070312</v>
      </c>
      <c r="M811" s="515">
        <f t="shared" si="632"/>
        <v>50692558.288574219</v>
      </c>
      <c r="N811" s="515">
        <f t="shared" si="632"/>
        <v>48847198.486328125</v>
      </c>
      <c r="O811" s="515">
        <f t="shared" si="632"/>
        <v>47502517.700195312</v>
      </c>
      <c r="P811" s="515">
        <f t="shared" si="632"/>
        <v>39806365.966796875</v>
      </c>
      <c r="Q811" s="515">
        <f t="shared" si="632"/>
        <v>13771057.12890625</v>
      </c>
      <c r="R811" s="515">
        <f t="shared" si="632"/>
        <v>-39100646.97265625</v>
      </c>
      <c r="S811" s="515">
        <f t="shared" si="632"/>
        <v>-21390914.916992188</v>
      </c>
      <c r="T811" s="515">
        <f t="shared" si="632"/>
        <v>-1835823.0590820312</v>
      </c>
      <c r="U811" s="515">
        <f t="shared" si="632"/>
        <v>14572143.5546875</v>
      </c>
      <c r="V811" s="515">
        <f t="shared" si="632"/>
        <v>-94060897.827148438</v>
      </c>
      <c r="W811" s="515">
        <f t="shared" si="632"/>
        <v>-82359313.96484375</v>
      </c>
      <c r="X811" s="515">
        <f t="shared" si="632"/>
        <v>34599304.19921875</v>
      </c>
      <c r="Y811" s="515">
        <f t="shared" si="632"/>
        <v>37345886.23046875</v>
      </c>
      <c r="Z811" s="515">
        <f t="shared" si="632"/>
        <v>-7743835.44921875</v>
      </c>
      <c r="AA811" s="515">
        <f t="shared" si="632"/>
        <v>2581868171.6918945</v>
      </c>
      <c r="AB811" s="515">
        <f t="shared" si="632"/>
        <v>2583355903.6254883</v>
      </c>
      <c r="AC811" s="515">
        <f t="shared" si="632"/>
        <v>2583451271.0571289</v>
      </c>
      <c r="AD811" s="515">
        <f t="shared" si="632"/>
        <v>2583794593.8110352</v>
      </c>
      <c r="AE811" s="515">
        <f t="shared" si="632"/>
        <v>2581715583.8012695</v>
      </c>
      <c r="AF811" s="515">
        <f t="shared" si="632"/>
        <v>2583746910.0952148</v>
      </c>
      <c r="AG811" s="86"/>
    </row>
    <row r="812" spans="1:33" s="221" customFormat="1" x14ac:dyDescent="0.2">
      <c r="A812" s="4" t="s">
        <v>99</v>
      </c>
      <c r="B812" s="237"/>
      <c r="C812" s="515">
        <f>IF(C$729&gt;C809,C806,C808)</f>
        <v>113105773.92578125</v>
      </c>
      <c r="D812" s="515">
        <f t="shared" ref="D812:AF812" si="633">IF(D$729&gt;D809,D806,D808)</f>
        <v>-3179187774.6582031</v>
      </c>
      <c r="E812" s="515">
        <f t="shared" si="633"/>
        <v>-169291496.27685547</v>
      </c>
      <c r="F812" s="515">
        <f t="shared" si="633"/>
        <v>151486396.78955078</v>
      </c>
      <c r="G812" s="515">
        <f t="shared" si="633"/>
        <v>-1101956367.4926758</v>
      </c>
      <c r="H812" s="515">
        <f t="shared" si="633"/>
        <v>104250907.89794922</v>
      </c>
      <c r="I812" s="515">
        <f t="shared" si="633"/>
        <v>-47240257.263183594</v>
      </c>
      <c r="J812" s="515">
        <f t="shared" si="633"/>
        <v>410509109.49707031</v>
      </c>
      <c r="K812" s="515">
        <f t="shared" si="633"/>
        <v>51207542.419433594</v>
      </c>
      <c r="L812" s="515">
        <f t="shared" si="633"/>
        <v>51608085.632324219</v>
      </c>
      <c r="M812" s="515">
        <f t="shared" si="633"/>
        <v>50678253.173828125</v>
      </c>
      <c r="N812" s="515">
        <f t="shared" si="633"/>
        <v>48832893.371582031</v>
      </c>
      <c r="O812" s="515">
        <f t="shared" si="633"/>
        <v>47488212.585449219</v>
      </c>
      <c r="P812" s="515">
        <f t="shared" si="633"/>
        <v>39792060.852050781</v>
      </c>
      <c r="Q812" s="515">
        <f t="shared" si="633"/>
        <v>13756752.014160156</v>
      </c>
      <c r="R812" s="515">
        <f t="shared" si="633"/>
        <v>-39114952.087402344</v>
      </c>
      <c r="S812" s="515">
        <f t="shared" si="633"/>
        <v>-21405220.031738281</v>
      </c>
      <c r="T812" s="515">
        <f t="shared" si="633"/>
        <v>-1850128.173828125</v>
      </c>
      <c r="U812" s="515">
        <f t="shared" si="633"/>
        <v>14557838.439941406</v>
      </c>
      <c r="V812" s="515">
        <f t="shared" si="633"/>
        <v>-94075202.941894531</v>
      </c>
      <c r="W812" s="515">
        <f t="shared" si="633"/>
        <v>-82373619.079589844</v>
      </c>
      <c r="X812" s="515">
        <f t="shared" si="633"/>
        <v>34584999.084472656</v>
      </c>
      <c r="Y812" s="515">
        <f t="shared" si="633"/>
        <v>37331581.115722656</v>
      </c>
      <c r="Z812" s="515">
        <f t="shared" si="633"/>
        <v>-7758140.5639648438</v>
      </c>
      <c r="AA812" s="515">
        <f t="shared" si="633"/>
        <v>2581863403.3203125</v>
      </c>
      <c r="AB812" s="515">
        <f t="shared" si="633"/>
        <v>2583351135.2539062</v>
      </c>
      <c r="AC812" s="515">
        <f t="shared" si="633"/>
        <v>2583446502.6855469</v>
      </c>
      <c r="AD812" s="515">
        <f t="shared" si="633"/>
        <v>2583789825.4394531</v>
      </c>
      <c r="AE812" s="515">
        <f t="shared" si="633"/>
        <v>2581710815.4296875</v>
      </c>
      <c r="AF812" s="515">
        <f t="shared" si="633"/>
        <v>2583742141.7236328</v>
      </c>
      <c r="AG812" s="86"/>
    </row>
    <row r="813" spans="1:33" s="220" customFormat="1" x14ac:dyDescent="0.2">
      <c r="A813" s="4" t="s">
        <v>100</v>
      </c>
      <c r="B813" s="236"/>
      <c r="C813" s="30">
        <f t="shared" ref="C813:AF813" si="634">(1/C245)*((EXP(C$241*C810)-1)/(EXP(C$242*C810)-1))</f>
        <v>4.8282063881142069E-2</v>
      </c>
      <c r="D813" s="30">
        <f t="shared" si="634"/>
        <v>1.7815839057503221E-2</v>
      </c>
      <c r="E813" s="30">
        <f t="shared" si="634"/>
        <v>4.2971154098848108E-2</v>
      </c>
      <c r="F813" s="30">
        <f t="shared" si="634"/>
        <v>4.907663007588705E-2</v>
      </c>
      <c r="G813" s="30">
        <f t="shared" si="634"/>
        <v>3.0565020687824896E-2</v>
      </c>
      <c r="H813" s="30">
        <f t="shared" si="634"/>
        <v>4.8101374298861153E-2</v>
      </c>
      <c r="I813" s="30">
        <f t="shared" si="634"/>
        <v>4.5155961932007015E-2</v>
      </c>
      <c r="J813" s="30">
        <f t="shared" si="634"/>
        <v>5.495803481022421E-2</v>
      </c>
      <c r="K813" s="30">
        <f t="shared" si="634"/>
        <v>4.7039142127849723E-2</v>
      </c>
      <c r="L813" s="30">
        <f t="shared" si="634"/>
        <v>4.7047035654447338E-2</v>
      </c>
      <c r="M813" s="30">
        <f t="shared" si="634"/>
        <v>4.7028714339618576E-2</v>
      </c>
      <c r="N813" s="30">
        <f t="shared" si="634"/>
        <v>4.6992384187852856E-2</v>
      </c>
      <c r="O813" s="30">
        <f t="shared" si="634"/>
        <v>4.6965936670656516E-2</v>
      </c>
      <c r="P813" s="30">
        <f t="shared" si="634"/>
        <v>4.6814981336377647E-2</v>
      </c>
      <c r="Q813" s="30">
        <f t="shared" si="634"/>
        <v>4.6309505074236576E-2</v>
      </c>
      <c r="R813" s="30">
        <f t="shared" si="634"/>
        <v>4.530718163702202E-2</v>
      </c>
      <c r="S813" s="30">
        <f t="shared" si="634"/>
        <v>4.5639356650587243E-2</v>
      </c>
      <c r="T813" s="30">
        <f t="shared" si="634"/>
        <v>4.6010295723024931E-2</v>
      </c>
      <c r="U813" s="30">
        <f t="shared" si="634"/>
        <v>4.6324939598542163E-2</v>
      </c>
      <c r="V813" s="30">
        <f t="shared" si="634"/>
        <v>4.429859883922041E-2</v>
      </c>
      <c r="W813" s="30">
        <f t="shared" si="634"/>
        <v>4.4510550005722974E-2</v>
      </c>
      <c r="X813" s="30">
        <f t="shared" si="634"/>
        <v>4.6713246953341052E-2</v>
      </c>
      <c r="Y813" s="30">
        <f t="shared" si="634"/>
        <v>4.6766869008454018E-2</v>
      </c>
      <c r="Z813" s="30">
        <f t="shared" si="634"/>
        <v>4.5897764518899084E-2</v>
      </c>
      <c r="AA813" s="30">
        <f t="shared" si="634"/>
        <v>0.17248114725618557</v>
      </c>
      <c r="AB813" s="30">
        <f t="shared" si="634"/>
        <v>0.17263490220257124</v>
      </c>
      <c r="AC813" s="30">
        <f t="shared" si="634"/>
        <v>0.1726447637200047</v>
      </c>
      <c r="AD813" s="30">
        <f t="shared" si="634"/>
        <v>0.1726802706033656</v>
      </c>
      <c r="AE813" s="30">
        <f t="shared" si="634"/>
        <v>0.17246538651815443</v>
      </c>
      <c r="AF813" s="30">
        <f t="shared" si="634"/>
        <v>0.17267533858437603</v>
      </c>
      <c r="AG813" s="26"/>
    </row>
    <row r="814" spans="1:33" s="221" customFormat="1" x14ac:dyDescent="0.2">
      <c r="A814" s="4" t="s">
        <v>97</v>
      </c>
      <c r="B814" s="237"/>
      <c r="C814" s="515">
        <f>IF(C$729&gt;C813,C810+((C811-C810)/2),C810-((C810-C812)/2))</f>
        <v>113109350.20446777</v>
      </c>
      <c r="D814" s="515">
        <f t="shared" ref="D814:AF814" si="635">IF(D$729&gt;D813,D810+((D811-D810)/2),D810-((D810-D812)/2))</f>
        <v>-3179184198.3795166</v>
      </c>
      <c r="E814" s="515">
        <f t="shared" si="635"/>
        <v>-169287919.99816895</v>
      </c>
      <c r="F814" s="515">
        <f t="shared" si="635"/>
        <v>151497125.62561035</v>
      </c>
      <c r="G814" s="515">
        <f t="shared" si="635"/>
        <v>-1101952791.2139893</v>
      </c>
      <c r="H814" s="515">
        <f t="shared" si="635"/>
        <v>104261636.73400879</v>
      </c>
      <c r="I814" s="515">
        <f t="shared" si="635"/>
        <v>-47229528.427124023</v>
      </c>
      <c r="J814" s="515">
        <f t="shared" si="635"/>
        <v>410519838.33312988</v>
      </c>
      <c r="K814" s="515">
        <f t="shared" si="635"/>
        <v>51211118.698120117</v>
      </c>
      <c r="L814" s="515">
        <f t="shared" si="635"/>
        <v>51618814.468383789</v>
      </c>
      <c r="M814" s="515">
        <f t="shared" si="635"/>
        <v>50688982.009887695</v>
      </c>
      <c r="N814" s="515">
        <f t="shared" si="635"/>
        <v>48843622.207641602</v>
      </c>
      <c r="O814" s="515">
        <f t="shared" si="635"/>
        <v>47498941.421508789</v>
      </c>
      <c r="P814" s="515">
        <f t="shared" si="635"/>
        <v>39802789.688110352</v>
      </c>
      <c r="Q814" s="515">
        <f t="shared" si="635"/>
        <v>13767480.850219727</v>
      </c>
      <c r="R814" s="515">
        <f t="shared" si="635"/>
        <v>-39111375.80871582</v>
      </c>
      <c r="S814" s="515">
        <f t="shared" si="635"/>
        <v>-21394491.195678711</v>
      </c>
      <c r="T814" s="515">
        <f t="shared" si="635"/>
        <v>-1839399.3377685547</v>
      </c>
      <c r="U814" s="515">
        <f t="shared" si="635"/>
        <v>14568567.276000977</v>
      </c>
      <c r="V814" s="515">
        <f t="shared" si="635"/>
        <v>-94071626.663208008</v>
      </c>
      <c r="W814" s="515">
        <f t="shared" si="635"/>
        <v>-82362890.243530273</v>
      </c>
      <c r="X814" s="515">
        <f t="shared" si="635"/>
        <v>34595727.920532227</v>
      </c>
      <c r="Y814" s="515">
        <f t="shared" si="635"/>
        <v>37335157.39440918</v>
      </c>
      <c r="Z814" s="515">
        <f t="shared" si="635"/>
        <v>-7754564.2852783203</v>
      </c>
      <c r="AA814" s="515">
        <f t="shared" si="635"/>
        <v>2581864595.413208</v>
      </c>
      <c r="AB814" s="515">
        <f t="shared" si="635"/>
        <v>2583354711.5325928</v>
      </c>
      <c r="AC814" s="515">
        <f t="shared" si="635"/>
        <v>2583447694.7784424</v>
      </c>
      <c r="AD814" s="515">
        <f t="shared" si="635"/>
        <v>2583791017.5323486</v>
      </c>
      <c r="AE814" s="515">
        <f t="shared" si="635"/>
        <v>2581714391.708374</v>
      </c>
      <c r="AF814" s="515">
        <f t="shared" si="635"/>
        <v>2583745718.0023193</v>
      </c>
      <c r="AG814" s="86"/>
    </row>
    <row r="815" spans="1:33" s="221" customFormat="1" x14ac:dyDescent="0.2">
      <c r="A815" s="4" t="s">
        <v>98</v>
      </c>
      <c r="B815" s="237"/>
      <c r="C815" s="515">
        <f>IF(C$729&lt;C813,C810,C811)</f>
        <v>113112926.4831543</v>
      </c>
      <c r="D815" s="515">
        <f t="shared" ref="D815:AF815" si="636">IF(D$729&lt;D813,D810,D811)</f>
        <v>-3179180622.1008301</v>
      </c>
      <c r="E815" s="515">
        <f t="shared" si="636"/>
        <v>-169284343.71948242</v>
      </c>
      <c r="F815" s="515">
        <f t="shared" si="636"/>
        <v>151500701.90429688</v>
      </c>
      <c r="G815" s="515">
        <f t="shared" si="636"/>
        <v>-1101949214.9353027</v>
      </c>
      <c r="H815" s="515">
        <f t="shared" si="636"/>
        <v>104265213.01269531</v>
      </c>
      <c r="I815" s="515">
        <f t="shared" si="636"/>
        <v>-47225952.1484375</v>
      </c>
      <c r="J815" s="515">
        <f t="shared" si="636"/>
        <v>410523414.61181641</v>
      </c>
      <c r="K815" s="515">
        <f t="shared" si="636"/>
        <v>51214694.976806641</v>
      </c>
      <c r="L815" s="515">
        <f t="shared" si="636"/>
        <v>51622390.747070312</v>
      </c>
      <c r="M815" s="515">
        <f t="shared" si="636"/>
        <v>50692558.288574219</v>
      </c>
      <c r="N815" s="515">
        <f t="shared" si="636"/>
        <v>48847198.486328125</v>
      </c>
      <c r="O815" s="515">
        <f t="shared" si="636"/>
        <v>47502517.700195312</v>
      </c>
      <c r="P815" s="515">
        <f t="shared" si="636"/>
        <v>39806365.966796875</v>
      </c>
      <c r="Q815" s="515">
        <f t="shared" si="636"/>
        <v>13771057.12890625</v>
      </c>
      <c r="R815" s="515">
        <f t="shared" si="636"/>
        <v>-39107799.530029297</v>
      </c>
      <c r="S815" s="515">
        <f t="shared" si="636"/>
        <v>-21390914.916992188</v>
      </c>
      <c r="T815" s="515">
        <f t="shared" si="636"/>
        <v>-1835823.0590820312</v>
      </c>
      <c r="U815" s="515">
        <f t="shared" si="636"/>
        <v>14572143.5546875</v>
      </c>
      <c r="V815" s="515">
        <f t="shared" si="636"/>
        <v>-94068050.384521484</v>
      </c>
      <c r="W815" s="515">
        <f t="shared" si="636"/>
        <v>-82359313.96484375</v>
      </c>
      <c r="X815" s="515">
        <f t="shared" si="636"/>
        <v>34599304.19921875</v>
      </c>
      <c r="Y815" s="515">
        <f t="shared" si="636"/>
        <v>37338733.673095703</v>
      </c>
      <c r="Z815" s="515">
        <f t="shared" si="636"/>
        <v>-7750988.0065917969</v>
      </c>
      <c r="AA815" s="515">
        <f t="shared" si="636"/>
        <v>2581865787.5061035</v>
      </c>
      <c r="AB815" s="515">
        <f t="shared" si="636"/>
        <v>2583355903.6254883</v>
      </c>
      <c r="AC815" s="515">
        <f t="shared" si="636"/>
        <v>2583448886.8713379</v>
      </c>
      <c r="AD815" s="515">
        <f t="shared" si="636"/>
        <v>2583792209.6252441</v>
      </c>
      <c r="AE815" s="515">
        <f t="shared" si="636"/>
        <v>2581715583.8012695</v>
      </c>
      <c r="AF815" s="515">
        <f t="shared" si="636"/>
        <v>2583746910.0952148</v>
      </c>
      <c r="AG815" s="86"/>
    </row>
    <row r="816" spans="1:33" s="221" customFormat="1" x14ac:dyDescent="0.2">
      <c r="A816" s="4" t="s">
        <v>99</v>
      </c>
      <c r="B816" s="237"/>
      <c r="C816" s="515">
        <f>IF(C$729&gt;C813,C810,C812)</f>
        <v>113105773.92578125</v>
      </c>
      <c r="D816" s="515">
        <f t="shared" ref="D816:AF816" si="637">IF(D$729&gt;D813,D810,D812)</f>
        <v>-3179187774.6582031</v>
      </c>
      <c r="E816" s="515">
        <f t="shared" si="637"/>
        <v>-169291496.27685547</v>
      </c>
      <c r="F816" s="515">
        <f t="shared" si="637"/>
        <v>151493549.34692383</v>
      </c>
      <c r="G816" s="515">
        <f t="shared" si="637"/>
        <v>-1101956367.4926758</v>
      </c>
      <c r="H816" s="515">
        <f t="shared" si="637"/>
        <v>104258060.45532227</v>
      </c>
      <c r="I816" s="515">
        <f t="shared" si="637"/>
        <v>-47233104.705810547</v>
      </c>
      <c r="J816" s="515">
        <f t="shared" si="637"/>
        <v>410516262.05444336</v>
      </c>
      <c r="K816" s="515">
        <f t="shared" si="637"/>
        <v>51207542.419433594</v>
      </c>
      <c r="L816" s="515">
        <f t="shared" si="637"/>
        <v>51615238.189697266</v>
      </c>
      <c r="M816" s="515">
        <f t="shared" si="637"/>
        <v>50685405.731201172</v>
      </c>
      <c r="N816" s="515">
        <f t="shared" si="637"/>
        <v>48840045.928955078</v>
      </c>
      <c r="O816" s="515">
        <f t="shared" si="637"/>
        <v>47495365.142822266</v>
      </c>
      <c r="P816" s="515">
        <f t="shared" si="637"/>
        <v>39799213.409423828</v>
      </c>
      <c r="Q816" s="515">
        <f t="shared" si="637"/>
        <v>13763904.571533203</v>
      </c>
      <c r="R816" s="515">
        <f t="shared" si="637"/>
        <v>-39114952.087402344</v>
      </c>
      <c r="S816" s="515">
        <f t="shared" si="637"/>
        <v>-21398067.474365234</v>
      </c>
      <c r="T816" s="515">
        <f t="shared" si="637"/>
        <v>-1842975.6164550781</v>
      </c>
      <c r="U816" s="515">
        <f t="shared" si="637"/>
        <v>14564990.997314453</v>
      </c>
      <c r="V816" s="515">
        <f t="shared" si="637"/>
        <v>-94075202.941894531</v>
      </c>
      <c r="W816" s="515">
        <f t="shared" si="637"/>
        <v>-82366466.522216797</v>
      </c>
      <c r="X816" s="515">
        <f t="shared" si="637"/>
        <v>34592151.641845703</v>
      </c>
      <c r="Y816" s="515">
        <f t="shared" si="637"/>
        <v>37331581.115722656</v>
      </c>
      <c r="Z816" s="515">
        <f t="shared" si="637"/>
        <v>-7758140.5639648438</v>
      </c>
      <c r="AA816" s="515">
        <f t="shared" si="637"/>
        <v>2581863403.3203125</v>
      </c>
      <c r="AB816" s="515">
        <f t="shared" si="637"/>
        <v>2583353519.4396973</v>
      </c>
      <c r="AC816" s="515">
        <f t="shared" si="637"/>
        <v>2583446502.6855469</v>
      </c>
      <c r="AD816" s="515">
        <f t="shared" si="637"/>
        <v>2583789825.4394531</v>
      </c>
      <c r="AE816" s="515">
        <f t="shared" si="637"/>
        <v>2581713199.6154785</v>
      </c>
      <c r="AF816" s="515">
        <f t="shared" si="637"/>
        <v>2583744525.9094238</v>
      </c>
      <c r="AG816" s="86"/>
    </row>
    <row r="817" spans="1:33" s="220" customFormat="1" x14ac:dyDescent="0.2">
      <c r="A817" s="4" t="s">
        <v>100</v>
      </c>
      <c r="B817" s="236"/>
      <c r="C817" s="30">
        <f t="shared" ref="C817:AF817" si="638">(1/C245)*((EXP(C$241*C814)-1)/(EXP(C$242*C814)-1))</f>
        <v>4.8281990707699306E-2</v>
      </c>
      <c r="D817" s="30">
        <f t="shared" si="638"/>
        <v>1.7815826419282428E-2</v>
      </c>
      <c r="E817" s="30">
        <f t="shared" si="638"/>
        <v>4.2971092393754733E-2</v>
      </c>
      <c r="F817" s="30">
        <f t="shared" si="638"/>
        <v>4.9076704984191387E-2</v>
      </c>
      <c r="G817" s="30">
        <f t="shared" si="638"/>
        <v>3.0564984648217754E-2</v>
      </c>
      <c r="H817" s="30">
        <f t="shared" si="638"/>
        <v>4.8101447078624841E-2</v>
      </c>
      <c r="I817" s="30">
        <f t="shared" si="638"/>
        <v>4.5156028327141426E-2</v>
      </c>
      <c r="J817" s="30">
        <f t="shared" si="638"/>
        <v>5.4958122691655065E-2</v>
      </c>
      <c r="K817" s="30">
        <f t="shared" si="638"/>
        <v>4.7039071658577694E-2</v>
      </c>
      <c r="L817" s="30">
        <f t="shared" si="638"/>
        <v>4.7047106141008231E-2</v>
      </c>
      <c r="M817" s="30">
        <f t="shared" si="638"/>
        <v>4.7028784786405216E-2</v>
      </c>
      <c r="N817" s="30">
        <f t="shared" si="638"/>
        <v>4.6992454555776164E-2</v>
      </c>
      <c r="O817" s="30">
        <f t="shared" si="638"/>
        <v>4.696600698117704E-2</v>
      </c>
      <c r="P817" s="30">
        <f t="shared" si="638"/>
        <v>4.6815051319356753E-2</v>
      </c>
      <c r="Q817" s="30">
        <f t="shared" si="638"/>
        <v>4.6309573961727496E-2</v>
      </c>
      <c r="R817" s="30">
        <f t="shared" si="638"/>
        <v>4.5307114915921591E-2</v>
      </c>
      <c r="S817" s="30">
        <f t="shared" si="638"/>
        <v>4.5639424088836936E-2</v>
      </c>
      <c r="T817" s="30">
        <f t="shared" si="638"/>
        <v>4.6010363963007034E-2</v>
      </c>
      <c r="U817" s="30">
        <f t="shared" si="638"/>
        <v>4.6325008519456035E-2</v>
      </c>
      <c r="V817" s="30">
        <f t="shared" si="638"/>
        <v>4.4298534289543889E-2</v>
      </c>
      <c r="W817" s="30">
        <f t="shared" si="638"/>
        <v>4.4510615011147552E-2</v>
      </c>
      <c r="X817" s="30">
        <f t="shared" si="638"/>
        <v>4.6713316715677411E-2</v>
      </c>
      <c r="Y817" s="30">
        <f t="shared" si="638"/>
        <v>4.676679912998525E-2</v>
      </c>
      <c r="Z817" s="30">
        <f t="shared" si="638"/>
        <v>4.5897696522401485E-2</v>
      </c>
      <c r="AA817" s="30">
        <f t="shared" si="638"/>
        <v>0.17248102411893249</v>
      </c>
      <c r="AB817" s="30">
        <f t="shared" si="638"/>
        <v>0.17263502546749898</v>
      </c>
      <c r="AC817" s="30">
        <f t="shared" si="638"/>
        <v>0.17264464044699654</v>
      </c>
      <c r="AD817" s="30">
        <f t="shared" si="638"/>
        <v>0.17268014730089579</v>
      </c>
      <c r="AE817" s="30">
        <f t="shared" si="638"/>
        <v>0.17246550964243326</v>
      </c>
      <c r="AF817" s="30">
        <f t="shared" si="638"/>
        <v>0.17267546188285579</v>
      </c>
      <c r="AG817" s="26"/>
    </row>
    <row r="818" spans="1:33" s="221" customFormat="1" x14ac:dyDescent="0.2">
      <c r="A818" s="4" t="s">
        <v>97</v>
      </c>
      <c r="B818" s="237"/>
      <c r="C818" s="515">
        <f>IF(C$729&gt;C817,C814+((C815-C814)/2),C814-((C814-C816)/2))</f>
        <v>113107562.06512451</v>
      </c>
      <c r="D818" s="515">
        <f t="shared" ref="D818:AF818" si="639">IF(D$729&gt;D817,D814+((D815-D814)/2),D814-((D814-D816)/2))</f>
        <v>-3179182410.2401733</v>
      </c>
      <c r="E818" s="515">
        <f t="shared" si="639"/>
        <v>-169286131.85882568</v>
      </c>
      <c r="F818" s="515">
        <f t="shared" si="639"/>
        <v>151495337.48626709</v>
      </c>
      <c r="G818" s="515">
        <f t="shared" si="639"/>
        <v>-1101954579.3533325</v>
      </c>
      <c r="H818" s="515">
        <f t="shared" si="639"/>
        <v>104263424.87335205</v>
      </c>
      <c r="I818" s="515">
        <f t="shared" si="639"/>
        <v>-47227740.287780762</v>
      </c>
      <c r="J818" s="515">
        <f t="shared" si="639"/>
        <v>410521626.47247314</v>
      </c>
      <c r="K818" s="515">
        <f t="shared" si="639"/>
        <v>51209330.558776855</v>
      </c>
      <c r="L818" s="515">
        <f t="shared" si="639"/>
        <v>51620602.607727051</v>
      </c>
      <c r="M818" s="515">
        <f t="shared" si="639"/>
        <v>50687193.870544434</v>
      </c>
      <c r="N818" s="515">
        <f t="shared" si="639"/>
        <v>48841834.06829834</v>
      </c>
      <c r="O818" s="515">
        <f t="shared" si="639"/>
        <v>47497153.282165527</v>
      </c>
      <c r="P818" s="515">
        <f t="shared" si="639"/>
        <v>39801001.54876709</v>
      </c>
      <c r="Q818" s="515">
        <f t="shared" si="639"/>
        <v>13765692.710876465</v>
      </c>
      <c r="R818" s="515">
        <f t="shared" si="639"/>
        <v>-39109587.669372559</v>
      </c>
      <c r="S818" s="515">
        <f t="shared" si="639"/>
        <v>-21392703.056335449</v>
      </c>
      <c r="T818" s="515">
        <f t="shared" si="639"/>
        <v>-1837611.198425293</v>
      </c>
      <c r="U818" s="515">
        <f t="shared" si="639"/>
        <v>14570355.415344238</v>
      </c>
      <c r="V818" s="515">
        <f t="shared" si="639"/>
        <v>-94073414.80255127</v>
      </c>
      <c r="W818" s="515">
        <f t="shared" si="639"/>
        <v>-82361102.104187012</v>
      </c>
      <c r="X818" s="515">
        <f t="shared" si="639"/>
        <v>34593939.781188965</v>
      </c>
      <c r="Y818" s="515">
        <f t="shared" si="639"/>
        <v>37336945.533752441</v>
      </c>
      <c r="Z818" s="515">
        <f t="shared" si="639"/>
        <v>-7752776.1459350586</v>
      </c>
      <c r="AA818" s="515">
        <f t="shared" si="639"/>
        <v>2581865191.4596558</v>
      </c>
      <c r="AB818" s="515">
        <f t="shared" si="639"/>
        <v>2583355307.5790405</v>
      </c>
      <c r="AC818" s="515">
        <f t="shared" si="639"/>
        <v>2583448290.8248901</v>
      </c>
      <c r="AD818" s="515">
        <f t="shared" si="639"/>
        <v>2583791613.5787964</v>
      </c>
      <c r="AE818" s="515">
        <f t="shared" si="639"/>
        <v>2581713795.6619263</v>
      </c>
      <c r="AF818" s="515">
        <f t="shared" si="639"/>
        <v>2583746314.0487671</v>
      </c>
      <c r="AG818" s="86"/>
    </row>
    <row r="819" spans="1:33" s="221" customFormat="1" x14ac:dyDescent="0.2">
      <c r="A819" s="4" t="s">
        <v>98</v>
      </c>
      <c r="B819" s="237"/>
      <c r="C819" s="515">
        <f>IF(C$729&lt;C817,C814,C815)</f>
        <v>113109350.20446777</v>
      </c>
      <c r="D819" s="515">
        <f t="shared" ref="D819:AF819" si="640">IF(D$729&lt;D817,D814,D815)</f>
        <v>-3179180622.1008301</v>
      </c>
      <c r="E819" s="515">
        <f t="shared" si="640"/>
        <v>-169284343.71948242</v>
      </c>
      <c r="F819" s="515">
        <f t="shared" si="640"/>
        <v>151497125.62561035</v>
      </c>
      <c r="G819" s="515">
        <f t="shared" si="640"/>
        <v>-1101952791.2139893</v>
      </c>
      <c r="H819" s="515">
        <f t="shared" si="640"/>
        <v>104265213.01269531</v>
      </c>
      <c r="I819" s="515">
        <f t="shared" si="640"/>
        <v>-47225952.1484375</v>
      </c>
      <c r="J819" s="515">
        <f t="shared" si="640"/>
        <v>410523414.61181641</v>
      </c>
      <c r="K819" s="515">
        <f t="shared" si="640"/>
        <v>51211118.698120117</v>
      </c>
      <c r="L819" s="515">
        <f t="shared" si="640"/>
        <v>51622390.747070312</v>
      </c>
      <c r="M819" s="515">
        <f t="shared" si="640"/>
        <v>50688982.009887695</v>
      </c>
      <c r="N819" s="515">
        <f t="shared" si="640"/>
        <v>48843622.207641602</v>
      </c>
      <c r="O819" s="515">
        <f t="shared" si="640"/>
        <v>47498941.421508789</v>
      </c>
      <c r="P819" s="515">
        <f t="shared" si="640"/>
        <v>39802789.688110352</v>
      </c>
      <c r="Q819" s="515">
        <f t="shared" si="640"/>
        <v>13767480.850219727</v>
      </c>
      <c r="R819" s="515">
        <f t="shared" si="640"/>
        <v>-39107799.530029297</v>
      </c>
      <c r="S819" s="515">
        <f t="shared" si="640"/>
        <v>-21390914.916992188</v>
      </c>
      <c r="T819" s="515">
        <f t="shared" si="640"/>
        <v>-1835823.0590820312</v>
      </c>
      <c r="U819" s="515">
        <f t="shared" si="640"/>
        <v>14572143.5546875</v>
      </c>
      <c r="V819" s="515">
        <f t="shared" si="640"/>
        <v>-94071626.663208008</v>
      </c>
      <c r="W819" s="515">
        <f t="shared" si="640"/>
        <v>-82359313.96484375</v>
      </c>
      <c r="X819" s="515">
        <f t="shared" si="640"/>
        <v>34595727.920532227</v>
      </c>
      <c r="Y819" s="515">
        <f t="shared" si="640"/>
        <v>37338733.673095703</v>
      </c>
      <c r="Z819" s="515">
        <f t="shared" si="640"/>
        <v>-7750988.0065917969</v>
      </c>
      <c r="AA819" s="515">
        <f t="shared" si="640"/>
        <v>2581865787.5061035</v>
      </c>
      <c r="AB819" s="515">
        <f t="shared" si="640"/>
        <v>2583355903.6254883</v>
      </c>
      <c r="AC819" s="515">
        <f t="shared" si="640"/>
        <v>2583448886.8713379</v>
      </c>
      <c r="AD819" s="515">
        <f t="shared" si="640"/>
        <v>2583792209.6252441</v>
      </c>
      <c r="AE819" s="515">
        <f t="shared" si="640"/>
        <v>2581714391.708374</v>
      </c>
      <c r="AF819" s="515">
        <f t="shared" si="640"/>
        <v>2583746910.0952148</v>
      </c>
      <c r="AG819" s="86"/>
    </row>
    <row r="820" spans="1:33" s="221" customFormat="1" x14ac:dyDescent="0.2">
      <c r="A820" s="4" t="s">
        <v>99</v>
      </c>
      <c r="B820" s="237"/>
      <c r="C820" s="515">
        <f>IF(C$729&gt;C817,C814,C816)</f>
        <v>113105773.92578125</v>
      </c>
      <c r="D820" s="515">
        <f t="shared" ref="D820:AF820" si="641">IF(D$729&gt;D817,D814,D816)</f>
        <v>-3179184198.3795166</v>
      </c>
      <c r="E820" s="515">
        <f t="shared" si="641"/>
        <v>-169287919.99816895</v>
      </c>
      <c r="F820" s="515">
        <f t="shared" si="641"/>
        <v>151493549.34692383</v>
      </c>
      <c r="G820" s="515">
        <f t="shared" si="641"/>
        <v>-1101956367.4926758</v>
      </c>
      <c r="H820" s="515">
        <f t="shared" si="641"/>
        <v>104261636.73400879</v>
      </c>
      <c r="I820" s="515">
        <f t="shared" si="641"/>
        <v>-47229528.427124023</v>
      </c>
      <c r="J820" s="515">
        <f t="shared" si="641"/>
        <v>410519838.33312988</v>
      </c>
      <c r="K820" s="515">
        <f t="shared" si="641"/>
        <v>51207542.419433594</v>
      </c>
      <c r="L820" s="515">
        <f t="shared" si="641"/>
        <v>51618814.468383789</v>
      </c>
      <c r="M820" s="515">
        <f t="shared" si="641"/>
        <v>50685405.731201172</v>
      </c>
      <c r="N820" s="515">
        <f t="shared" si="641"/>
        <v>48840045.928955078</v>
      </c>
      <c r="O820" s="515">
        <f t="shared" si="641"/>
        <v>47495365.142822266</v>
      </c>
      <c r="P820" s="515">
        <f t="shared" si="641"/>
        <v>39799213.409423828</v>
      </c>
      <c r="Q820" s="515">
        <f t="shared" si="641"/>
        <v>13763904.571533203</v>
      </c>
      <c r="R820" s="515">
        <f t="shared" si="641"/>
        <v>-39111375.80871582</v>
      </c>
      <c r="S820" s="515">
        <f t="shared" si="641"/>
        <v>-21394491.195678711</v>
      </c>
      <c r="T820" s="515">
        <f t="shared" si="641"/>
        <v>-1839399.3377685547</v>
      </c>
      <c r="U820" s="515">
        <f t="shared" si="641"/>
        <v>14568567.276000977</v>
      </c>
      <c r="V820" s="515">
        <f t="shared" si="641"/>
        <v>-94075202.941894531</v>
      </c>
      <c r="W820" s="515">
        <f t="shared" si="641"/>
        <v>-82362890.243530273</v>
      </c>
      <c r="X820" s="515">
        <f t="shared" si="641"/>
        <v>34592151.641845703</v>
      </c>
      <c r="Y820" s="515">
        <f t="shared" si="641"/>
        <v>37335157.39440918</v>
      </c>
      <c r="Z820" s="515">
        <f t="shared" si="641"/>
        <v>-7754564.2852783203</v>
      </c>
      <c r="AA820" s="515">
        <f t="shared" si="641"/>
        <v>2581864595.413208</v>
      </c>
      <c r="AB820" s="515">
        <f t="shared" si="641"/>
        <v>2583354711.5325928</v>
      </c>
      <c r="AC820" s="515">
        <f t="shared" si="641"/>
        <v>2583447694.7784424</v>
      </c>
      <c r="AD820" s="515">
        <f t="shared" si="641"/>
        <v>2583791017.5323486</v>
      </c>
      <c r="AE820" s="515">
        <f t="shared" si="641"/>
        <v>2581713199.6154785</v>
      </c>
      <c r="AF820" s="515">
        <f t="shared" si="641"/>
        <v>2583745718.0023193</v>
      </c>
      <c r="AG820" s="86"/>
    </row>
    <row r="821" spans="1:33" s="220" customFormat="1" x14ac:dyDescent="0.2">
      <c r="A821" s="4" t="s">
        <v>100</v>
      </c>
      <c r="B821" s="236"/>
      <c r="C821" s="30">
        <f t="shared" ref="C821:AF821" si="642">(1/C245)*((EXP(C$241*C818)-1)/(EXP(C$242*C818)-1))</f>
        <v>4.8281954121037765E-2</v>
      </c>
      <c r="D821" s="30">
        <f t="shared" si="642"/>
        <v>1.7815832738390262E-2</v>
      </c>
      <c r="E821" s="30">
        <f t="shared" si="642"/>
        <v>4.2971123246284944E-2</v>
      </c>
      <c r="F821" s="30">
        <f t="shared" si="642"/>
        <v>4.9076667530018589E-2</v>
      </c>
      <c r="G821" s="30">
        <f t="shared" si="642"/>
        <v>3.0564966628441013E-2</v>
      </c>
      <c r="H821" s="30">
        <f t="shared" si="642"/>
        <v>4.8101483468565992E-2</v>
      </c>
      <c r="I821" s="30">
        <f t="shared" si="642"/>
        <v>4.5156061524762342E-2</v>
      </c>
      <c r="J821" s="30">
        <f t="shared" si="642"/>
        <v>5.4958166632443586E-2</v>
      </c>
      <c r="K821" s="30">
        <f t="shared" si="642"/>
        <v>4.7039036423998995E-2</v>
      </c>
      <c r="L821" s="30">
        <f t="shared" si="642"/>
        <v>4.7047141384346548E-2</v>
      </c>
      <c r="M821" s="30">
        <f t="shared" si="642"/>
        <v>4.7028749562992501E-2</v>
      </c>
      <c r="N821" s="30">
        <f t="shared" si="642"/>
        <v>4.6992419371795345E-2</v>
      </c>
      <c r="O821" s="30">
        <f t="shared" si="642"/>
        <v>4.696597182589704E-2</v>
      </c>
      <c r="P821" s="30">
        <f t="shared" si="642"/>
        <v>4.6815016327848416E-2</v>
      </c>
      <c r="Q821" s="30">
        <f t="shared" si="642"/>
        <v>4.6309539517962628E-2</v>
      </c>
      <c r="R821" s="30">
        <f t="shared" si="642"/>
        <v>4.5307148276453366E-2</v>
      </c>
      <c r="S821" s="30">
        <f t="shared" si="642"/>
        <v>4.5639457808015663E-2</v>
      </c>
      <c r="T821" s="30">
        <f t="shared" si="642"/>
        <v>4.6010398083050484E-2</v>
      </c>
      <c r="U821" s="30">
        <f t="shared" si="642"/>
        <v>4.6325042979968555E-2</v>
      </c>
      <c r="V821" s="30">
        <f t="shared" si="642"/>
        <v>4.4298502014757636E-2</v>
      </c>
      <c r="W821" s="30">
        <f t="shared" si="642"/>
        <v>4.4510647513912344E-2</v>
      </c>
      <c r="X821" s="30">
        <f t="shared" si="642"/>
        <v>4.6713281834490111E-2</v>
      </c>
      <c r="Y821" s="30">
        <f t="shared" si="642"/>
        <v>4.6766834069201263E-2</v>
      </c>
      <c r="Z821" s="30">
        <f t="shared" si="642"/>
        <v>4.5897730520630058E-2</v>
      </c>
      <c r="AA821" s="30">
        <f t="shared" si="642"/>
        <v>0.17248108568754628</v>
      </c>
      <c r="AB821" s="30">
        <f t="shared" si="642"/>
        <v>0.17263508710000133</v>
      </c>
      <c r="AC821" s="30">
        <f t="shared" si="642"/>
        <v>0.17264470208348787</v>
      </c>
      <c r="AD821" s="30">
        <f t="shared" si="642"/>
        <v>0.17268020895211786</v>
      </c>
      <c r="AE821" s="30">
        <f t="shared" si="642"/>
        <v>0.17246544808028103</v>
      </c>
      <c r="AF821" s="30">
        <f t="shared" si="642"/>
        <v>0.17267552353213403</v>
      </c>
      <c r="AG821" s="26"/>
    </row>
    <row r="822" spans="1:33" s="220" customFormat="1" x14ac:dyDescent="0.2">
      <c r="A822" s="4" t="s">
        <v>101</v>
      </c>
      <c r="B822" s="236"/>
      <c r="C822" s="30">
        <f>C818</f>
        <v>113107562.06512451</v>
      </c>
      <c r="D822" s="30">
        <f t="shared" ref="D822:AF822" si="643">D818</f>
        <v>-3179182410.2401733</v>
      </c>
      <c r="E822" s="30">
        <f t="shared" si="643"/>
        <v>-169286131.85882568</v>
      </c>
      <c r="F822" s="30">
        <f t="shared" si="643"/>
        <v>151495337.48626709</v>
      </c>
      <c r="G822" s="30">
        <f t="shared" si="643"/>
        <v>-1101954579.3533325</v>
      </c>
      <c r="H822" s="30">
        <f t="shared" si="643"/>
        <v>104263424.87335205</v>
      </c>
      <c r="I822" s="30">
        <f t="shared" si="643"/>
        <v>-47227740.287780762</v>
      </c>
      <c r="J822" s="30">
        <f t="shared" si="643"/>
        <v>410521626.47247314</v>
      </c>
      <c r="K822" s="30">
        <f t="shared" si="643"/>
        <v>51209330.558776855</v>
      </c>
      <c r="L822" s="30">
        <f t="shared" si="643"/>
        <v>51620602.607727051</v>
      </c>
      <c r="M822" s="30">
        <f t="shared" si="643"/>
        <v>50687193.870544434</v>
      </c>
      <c r="N822" s="30">
        <f t="shared" si="643"/>
        <v>48841834.06829834</v>
      </c>
      <c r="O822" s="30">
        <f t="shared" si="643"/>
        <v>47497153.282165527</v>
      </c>
      <c r="P822" s="30">
        <f t="shared" si="643"/>
        <v>39801001.54876709</v>
      </c>
      <c r="Q822" s="30">
        <f t="shared" si="643"/>
        <v>13765692.710876465</v>
      </c>
      <c r="R822" s="30">
        <f t="shared" si="643"/>
        <v>-39109587.669372559</v>
      </c>
      <c r="S822" s="30">
        <f t="shared" si="643"/>
        <v>-21392703.056335449</v>
      </c>
      <c r="T822" s="30">
        <f t="shared" si="643"/>
        <v>-1837611.198425293</v>
      </c>
      <c r="U822" s="30">
        <f t="shared" si="643"/>
        <v>14570355.415344238</v>
      </c>
      <c r="V822" s="30">
        <f t="shared" si="643"/>
        <v>-94073414.80255127</v>
      </c>
      <c r="W822" s="30">
        <f t="shared" si="643"/>
        <v>-82361102.104187012</v>
      </c>
      <c r="X822" s="30">
        <f t="shared" si="643"/>
        <v>34593939.781188965</v>
      </c>
      <c r="Y822" s="30">
        <f t="shared" si="643"/>
        <v>37336945.533752441</v>
      </c>
      <c r="Z822" s="30">
        <f t="shared" si="643"/>
        <v>-7752776.1459350586</v>
      </c>
      <c r="AA822" s="30">
        <f t="shared" si="643"/>
        <v>2581865191.4596558</v>
      </c>
      <c r="AB822" s="30">
        <f t="shared" si="643"/>
        <v>2583355307.5790405</v>
      </c>
      <c r="AC822" s="30">
        <f t="shared" si="643"/>
        <v>2583448290.8248901</v>
      </c>
      <c r="AD822" s="30">
        <f t="shared" si="643"/>
        <v>2583791613.5787964</v>
      </c>
      <c r="AE822" s="30">
        <f t="shared" si="643"/>
        <v>2581713795.6619263</v>
      </c>
      <c r="AF822" s="30">
        <f t="shared" si="643"/>
        <v>2583746314.0487671</v>
      </c>
      <c r="AG822" s="26"/>
    </row>
    <row r="823" spans="1:33" x14ac:dyDescent="0.2">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c r="AA823" s="28"/>
      <c r="AB823" s="28"/>
      <c r="AC823" s="28"/>
      <c r="AD823" s="28"/>
      <c r="AE823" s="28"/>
      <c r="AF823" s="28"/>
    </row>
    <row r="824" spans="1:33" ht="18" x14ac:dyDescent="0.2">
      <c r="A824" s="1" t="s">
        <v>618</v>
      </c>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c r="AA824" s="28"/>
      <c r="AB824" s="28"/>
      <c r="AC824" s="28"/>
      <c r="AD824" s="28"/>
      <c r="AE824" s="28"/>
      <c r="AF824" s="28"/>
    </row>
    <row r="825" spans="1:33" s="703" customFormat="1" x14ac:dyDescent="0.2">
      <c r="A825" s="701" t="s">
        <v>95</v>
      </c>
      <c r="B825" s="701"/>
      <c r="C825" s="702">
        <f>SUM(C826+C827+C828+C829+C830+C831+C832+C833+C834+C835+C836+C837)</f>
        <v>6.1278903917301879E-6</v>
      </c>
      <c r="D825" s="702">
        <f t="shared" ref="D825:AF825" si="644">SUM(D826+D827+D828+D829+D830+D831+D832+D833+D834+D835+D836+D837)</f>
        <v>8.5576977513608372E-4</v>
      </c>
      <c r="E825" s="702">
        <f t="shared" si="644"/>
        <v>4.7042887663988569E-4</v>
      </c>
      <c r="F825" s="702">
        <f t="shared" si="644"/>
        <v>2.3547478720124695E-3</v>
      </c>
      <c r="G825" s="702">
        <f t="shared" si="644"/>
        <v>8.0693684212666198E-4</v>
      </c>
      <c r="H825" s="702">
        <f t="shared" si="644"/>
        <v>8.7068013327548308E-4</v>
      </c>
      <c r="I825" s="702">
        <f t="shared" si="644"/>
        <v>2.3781372134171295E-4</v>
      </c>
      <c r="J825" s="702">
        <f t="shared" si="644"/>
        <v>3.2410576968460559E-4</v>
      </c>
      <c r="K825" s="702">
        <f t="shared" si="644"/>
        <v>1.1604076958390678E-7</v>
      </c>
      <c r="L825" s="702">
        <f t="shared" si="644"/>
        <v>1.2478706450755671E-7</v>
      </c>
      <c r="M825" s="702">
        <f t="shared" si="644"/>
        <v>1.3960039515704121E-7</v>
      </c>
      <c r="N825" s="702">
        <f t="shared" si="644"/>
        <v>1.2177260495379174E-7</v>
      </c>
      <c r="O825" s="702">
        <f t="shared" si="644"/>
        <v>1.6793674647815741E-7</v>
      </c>
      <c r="P825" s="702">
        <f t="shared" si="644"/>
        <v>1.801257725557929E-7</v>
      </c>
      <c r="Q825" s="702">
        <f t="shared" si="644"/>
        <v>4.464759931489161E-7</v>
      </c>
      <c r="R825" s="702">
        <f t="shared" si="644"/>
        <v>7.4232091390263369E-7</v>
      </c>
      <c r="S825" s="702">
        <f t="shared" si="644"/>
        <v>9.0285848191200876E-7</v>
      </c>
      <c r="T825" s="702">
        <f t="shared" si="644"/>
        <v>1.1313991600648825E-6</v>
      </c>
      <c r="U825" s="702">
        <f t="shared" si="644"/>
        <v>3.084244518876904E-6</v>
      </c>
      <c r="V825" s="702">
        <f t="shared" si="644"/>
        <v>5.1524250736465731E-6</v>
      </c>
      <c r="W825" s="702">
        <f t="shared" si="644"/>
        <v>1.1136935178115822E-5</v>
      </c>
      <c r="X825" s="702">
        <f t="shared" si="644"/>
        <v>6.3649861354035346E-7</v>
      </c>
      <c r="Y825" s="702">
        <f t="shared" si="644"/>
        <v>1.9605140245013018E-6</v>
      </c>
      <c r="Z825" s="702">
        <f t="shared" si="644"/>
        <v>2.4157531557489582E-6</v>
      </c>
      <c r="AA825" s="702">
        <f t="shared" si="644"/>
        <v>8.4565247165295223E-8</v>
      </c>
      <c r="AB825" s="702">
        <f t="shared" si="644"/>
        <v>1.1807298993108397E-7</v>
      </c>
      <c r="AC825" s="702">
        <f t="shared" si="644"/>
        <v>7.3868553734132883E-8</v>
      </c>
      <c r="AD825" s="702">
        <f t="shared" si="644"/>
        <v>7.6990038079302965E-8</v>
      </c>
      <c r="AE825" s="702">
        <f t="shared" si="644"/>
        <v>9.7341312756275436E-8</v>
      </c>
      <c r="AF825" s="702">
        <f t="shared" si="644"/>
        <v>7.9399580622184049E-8</v>
      </c>
    </row>
    <row r="826" spans="1:33" s="694" customFormat="1" x14ac:dyDescent="0.2">
      <c r="A826" s="691" t="s">
        <v>675</v>
      </c>
      <c r="B826" s="692"/>
      <c r="C826" s="693">
        <f t="shared" ref="C826:AF826" si="645">C447^2/C$133^2</f>
        <v>1.2438003664805597E-8</v>
      </c>
      <c r="D826" s="693">
        <f t="shared" si="645"/>
        <v>2.8817529643886483E-7</v>
      </c>
      <c r="E826" s="693">
        <f t="shared" si="645"/>
        <v>6.0997667250934382E-8</v>
      </c>
      <c r="F826" s="693">
        <f t="shared" si="645"/>
        <v>3.3390749482315992E-8</v>
      </c>
      <c r="G826" s="693">
        <f t="shared" si="645"/>
        <v>7.5564766010321653E-8</v>
      </c>
      <c r="H826" s="693">
        <f t="shared" si="645"/>
        <v>6.2409052358484649E-8</v>
      </c>
      <c r="I826" s="693">
        <f t="shared" si="645"/>
        <v>1.0267199763713139E-7</v>
      </c>
      <c r="J826" s="693">
        <f t="shared" si="645"/>
        <v>3.4584030922560285E-8</v>
      </c>
      <c r="K826" s="693">
        <f t="shared" si="645"/>
        <v>3.9206720506159349E-9</v>
      </c>
      <c r="L826" s="693">
        <f t="shared" si="645"/>
        <v>5.7985374231288551E-9</v>
      </c>
      <c r="M826" s="693">
        <f t="shared" si="645"/>
        <v>2.0506558017126289E-8</v>
      </c>
      <c r="N826" s="693">
        <f t="shared" si="645"/>
        <v>6.320395453234368E-9</v>
      </c>
      <c r="O826" s="693">
        <f t="shared" si="645"/>
        <v>8.1699023997870043E-9</v>
      </c>
      <c r="P826" s="693">
        <f t="shared" si="645"/>
        <v>1.1458593391070102E-8</v>
      </c>
      <c r="Q826" s="693">
        <f t="shared" si="645"/>
        <v>1.3014940264197981E-7</v>
      </c>
      <c r="R826" s="693">
        <f t="shared" si="645"/>
        <v>3.9339159716688361E-8</v>
      </c>
      <c r="S826" s="693">
        <f t="shared" si="645"/>
        <v>8.6040916214606804E-8</v>
      </c>
      <c r="T826" s="693">
        <f t="shared" si="645"/>
        <v>5.4368453025141211E-8</v>
      </c>
      <c r="U826" s="693">
        <f t="shared" si="645"/>
        <v>8.2990780227386419E-8</v>
      </c>
      <c r="V826" s="693">
        <f t="shared" si="645"/>
        <v>1.7831891119688504E-7</v>
      </c>
      <c r="W826" s="693">
        <f t="shared" si="645"/>
        <v>5.8059564219607398E-8</v>
      </c>
      <c r="X826" s="693">
        <f t="shared" si="645"/>
        <v>3.8723526794728475E-8</v>
      </c>
      <c r="Y826" s="693">
        <f t="shared" si="645"/>
        <v>9.8471225988773327E-8</v>
      </c>
      <c r="Z826" s="693">
        <f t="shared" si="645"/>
        <v>1.081297533371087E-7</v>
      </c>
      <c r="AA826" s="693">
        <f t="shared" si="645"/>
        <v>1.9893683132436669E-8</v>
      </c>
      <c r="AB826" s="693">
        <f t="shared" si="645"/>
        <v>5.2051124121113602E-8</v>
      </c>
      <c r="AC826" s="693">
        <f t="shared" si="645"/>
        <v>8.127095887385684E-9</v>
      </c>
      <c r="AD826" s="693">
        <f t="shared" si="645"/>
        <v>1.2281431051283429E-8</v>
      </c>
      <c r="AE826" s="693">
        <f t="shared" si="645"/>
        <v>2.7722831975078784E-8</v>
      </c>
      <c r="AF826" s="693">
        <f t="shared" si="645"/>
        <v>1.3770552104203521E-8</v>
      </c>
      <c r="AG826" s="693"/>
    </row>
    <row r="827" spans="1:33" s="694" customFormat="1" x14ac:dyDescent="0.2">
      <c r="A827" s="691" t="s">
        <v>677</v>
      </c>
      <c r="B827" s="692"/>
      <c r="C827" s="693">
        <f t="shared" ref="C827:AF827" si="646">C449^2/C$133^2</f>
        <v>8.1535180278305459E-8</v>
      </c>
      <c r="D827" s="693">
        <f t="shared" si="646"/>
        <v>1.3635070628497433E-4</v>
      </c>
      <c r="E827" s="693">
        <f t="shared" si="646"/>
        <v>1.5926199126276032E-5</v>
      </c>
      <c r="F827" s="693">
        <f t="shared" si="646"/>
        <v>1.8697879175382409E-5</v>
      </c>
      <c r="G827" s="693">
        <f t="shared" si="646"/>
        <v>2.0503735367703796E-5</v>
      </c>
      <c r="H827" s="693">
        <f t="shared" si="646"/>
        <v>2.0713996264285329E-5</v>
      </c>
      <c r="I827" s="693">
        <f t="shared" si="646"/>
        <v>1.0043502771588123E-5</v>
      </c>
      <c r="J827" s="693">
        <f t="shared" si="646"/>
        <v>5.2549552187064963E-6</v>
      </c>
      <c r="K827" s="693">
        <f t="shared" si="646"/>
        <v>3.4967499174190272E-10</v>
      </c>
      <c r="L827" s="693">
        <f t="shared" si="646"/>
        <v>1.5131276991492501E-9</v>
      </c>
      <c r="M827" s="693">
        <f t="shared" si="646"/>
        <v>1.0854035909387196E-9</v>
      </c>
      <c r="N827" s="693">
        <f t="shared" si="646"/>
        <v>8.1265262221977595E-10</v>
      </c>
      <c r="O827" s="693">
        <f t="shared" si="646"/>
        <v>2.7467187645549673E-9</v>
      </c>
      <c r="P827" s="693">
        <f t="shared" si="646"/>
        <v>1.4351736691803192E-9</v>
      </c>
      <c r="Q827" s="693">
        <f t="shared" si="646"/>
        <v>4.3951107286844477E-8</v>
      </c>
      <c r="R827" s="693">
        <f t="shared" si="646"/>
        <v>1.1325264788747267E-7</v>
      </c>
      <c r="S827" s="693">
        <f t="shared" si="646"/>
        <v>1.3915686775928918E-7</v>
      </c>
      <c r="T827" s="693">
        <f t="shared" si="646"/>
        <v>2.2080901828477228E-7</v>
      </c>
      <c r="U827" s="693">
        <f t="shared" si="646"/>
        <v>3.5010813310371893E-7</v>
      </c>
      <c r="V827" s="693">
        <f t="shared" si="646"/>
        <v>6.4792751850232818E-7</v>
      </c>
      <c r="W827" s="693">
        <f t="shared" si="646"/>
        <v>9.1949153402345883E-7</v>
      </c>
      <c r="X827" s="693">
        <f t="shared" si="646"/>
        <v>4.7560710036744367E-8</v>
      </c>
      <c r="Y827" s="693">
        <f t="shared" si="646"/>
        <v>2.0959394588828753E-7</v>
      </c>
      <c r="Z827" s="693">
        <f t="shared" si="646"/>
        <v>2.3801303156728791E-7</v>
      </c>
      <c r="AA827" s="693">
        <f t="shared" si="646"/>
        <v>7.5538578152732085E-13</v>
      </c>
      <c r="AB827" s="693">
        <f t="shared" si="646"/>
        <v>8.6792721999060565E-13</v>
      </c>
      <c r="AC827" s="693">
        <f t="shared" si="646"/>
        <v>1.6078955592056691E-12</v>
      </c>
      <c r="AD827" s="693">
        <f t="shared" si="646"/>
        <v>8.0823140672864786E-13</v>
      </c>
      <c r="AE827" s="693">
        <f t="shared" si="646"/>
        <v>7.715482874471594E-13</v>
      </c>
      <c r="AF827" s="693">
        <f t="shared" si="646"/>
        <v>1.7544501606608396E-12</v>
      </c>
      <c r="AG827" s="693"/>
    </row>
    <row r="828" spans="1:33" s="694" customFormat="1" x14ac:dyDescent="0.2">
      <c r="A828" s="691" t="s">
        <v>679</v>
      </c>
      <c r="B828" s="692"/>
      <c r="C828" s="693">
        <f t="shared" ref="C828:AF828" si="647">C455^2/C$133^2</f>
        <v>3.2619668502253122E-7</v>
      </c>
      <c r="D828" s="693">
        <f t="shared" si="647"/>
        <v>1.1960034903974844E-5</v>
      </c>
      <c r="E828" s="693">
        <f t="shared" si="647"/>
        <v>7.0595650543503343E-6</v>
      </c>
      <c r="F828" s="693">
        <f t="shared" si="647"/>
        <v>2.7608625604675879E-5</v>
      </c>
      <c r="G828" s="693">
        <f t="shared" si="647"/>
        <v>1.027321931060651E-5</v>
      </c>
      <c r="H828" s="693">
        <f t="shared" si="647"/>
        <v>1.1898257192743303E-5</v>
      </c>
      <c r="I828" s="693">
        <f t="shared" si="647"/>
        <v>3.7856065433984984E-6</v>
      </c>
      <c r="J828" s="693">
        <f t="shared" si="647"/>
        <v>5.0747922756431387E-6</v>
      </c>
      <c r="K828" s="693">
        <f t="shared" si="647"/>
        <v>9.2459431601103081E-8</v>
      </c>
      <c r="L828" s="693">
        <f t="shared" si="647"/>
        <v>9.3945816809448342E-8</v>
      </c>
      <c r="M828" s="693">
        <f t="shared" si="647"/>
        <v>9.4092211745954167E-8</v>
      </c>
      <c r="N828" s="693">
        <f t="shared" si="647"/>
        <v>9.3118846702892555E-8</v>
      </c>
      <c r="O828" s="693">
        <f t="shared" si="647"/>
        <v>9.8752533112772733E-8</v>
      </c>
      <c r="P828" s="693">
        <f t="shared" si="647"/>
        <v>9.4050236615478367E-8</v>
      </c>
      <c r="Q828" s="693">
        <f t="shared" si="647"/>
        <v>1.0954410859135122E-7</v>
      </c>
      <c r="R828" s="693">
        <f t="shared" si="647"/>
        <v>1.4602093240925345E-8</v>
      </c>
      <c r="S828" s="693">
        <f t="shared" si="647"/>
        <v>1.3815595763565604E-8</v>
      </c>
      <c r="T828" s="693">
        <f t="shared" si="647"/>
        <v>1.4459974617558643E-8</v>
      </c>
      <c r="U828" s="693">
        <f t="shared" si="647"/>
        <v>2.3777838017022326E-8</v>
      </c>
      <c r="V828" s="693">
        <f t="shared" si="647"/>
        <v>2.8877000110788096E-8</v>
      </c>
      <c r="W828" s="693">
        <f t="shared" si="647"/>
        <v>2.9860074495618249E-8</v>
      </c>
      <c r="X828" s="693">
        <f t="shared" si="647"/>
        <v>1.3079126088026851E-8</v>
      </c>
      <c r="Y828" s="693">
        <f t="shared" si="647"/>
        <v>2.0987100989438247E-8</v>
      </c>
      <c r="Z828" s="693">
        <f t="shared" si="647"/>
        <v>1.8846284292805056E-8</v>
      </c>
      <c r="AA828" s="693">
        <f t="shared" si="647"/>
        <v>3.9989453030752614E-8</v>
      </c>
      <c r="AB828" s="693">
        <f t="shared" si="647"/>
        <v>3.9972481948503696E-8</v>
      </c>
      <c r="AC828" s="693">
        <f t="shared" si="647"/>
        <v>3.9998732710453987E-8</v>
      </c>
      <c r="AD828" s="693">
        <f t="shared" si="647"/>
        <v>4.0016564840052886E-8</v>
      </c>
      <c r="AE828" s="693">
        <f t="shared" si="647"/>
        <v>4.0013969207432569E-8</v>
      </c>
      <c r="AF828" s="693">
        <f t="shared" si="647"/>
        <v>4.0067060343864318E-8</v>
      </c>
      <c r="AG828" s="693"/>
    </row>
    <row r="829" spans="1:33" s="694" customFormat="1" x14ac:dyDescent="0.2">
      <c r="A829" s="691" t="s">
        <v>681</v>
      </c>
      <c r="B829" s="692"/>
      <c r="C829" s="693">
        <f t="shared" ref="C829:AF829" si="648">C457^2/C$133^2</f>
        <v>6.6814131092534026E-8</v>
      </c>
      <c r="D829" s="693">
        <f t="shared" si="648"/>
        <v>1.758570874276796E-5</v>
      </c>
      <c r="E829" s="693">
        <f t="shared" si="648"/>
        <v>4.3564302264426506E-6</v>
      </c>
      <c r="F829" s="693">
        <f t="shared" si="648"/>
        <v>2.1135446481651379E-6</v>
      </c>
      <c r="G829" s="693">
        <f t="shared" si="648"/>
        <v>8.8656814824797936E-7</v>
      </c>
      <c r="H829" s="693">
        <f t="shared" si="648"/>
        <v>4.3142726670870398E-6</v>
      </c>
      <c r="I829" s="693">
        <f t="shared" si="648"/>
        <v>1.8078178988549895E-6</v>
      </c>
      <c r="J829" s="693">
        <f t="shared" si="648"/>
        <v>2.5794431736167772E-6</v>
      </c>
      <c r="K829" s="693">
        <f t="shared" si="648"/>
        <v>1.6566845232827572E-9</v>
      </c>
      <c r="L829" s="693">
        <f t="shared" si="648"/>
        <v>4.8461992214990055E-9</v>
      </c>
      <c r="M829" s="693">
        <f t="shared" si="648"/>
        <v>5.459252596615735E-9</v>
      </c>
      <c r="N829" s="693">
        <f t="shared" si="648"/>
        <v>3.0900147480609588E-9</v>
      </c>
      <c r="O829" s="693">
        <f t="shared" si="648"/>
        <v>2.4318289654533781E-8</v>
      </c>
      <c r="P829" s="693">
        <f t="shared" si="648"/>
        <v>5.0186248648447269E-9</v>
      </c>
      <c r="Q829" s="693">
        <f t="shared" si="648"/>
        <v>8.058403029679E-8</v>
      </c>
      <c r="R829" s="693">
        <f t="shared" si="648"/>
        <v>3.0744237092406967E-7</v>
      </c>
      <c r="S829" s="693">
        <f t="shared" si="648"/>
        <v>3.5498202814406767E-7</v>
      </c>
      <c r="T829" s="693">
        <f t="shared" si="648"/>
        <v>4.5124219995164929E-7</v>
      </c>
      <c r="U829" s="693">
        <f t="shared" si="648"/>
        <v>1.4211181666241437E-6</v>
      </c>
      <c r="V829" s="693">
        <f t="shared" si="648"/>
        <v>2.4349791920838858E-6</v>
      </c>
      <c r="W829" s="693">
        <f t="shared" si="648"/>
        <v>5.8054948377463126E-6</v>
      </c>
      <c r="X829" s="693">
        <f t="shared" si="648"/>
        <v>2.9363629483419429E-7</v>
      </c>
      <c r="Y829" s="693">
        <f t="shared" si="648"/>
        <v>9.1597753040412017E-7</v>
      </c>
      <c r="Z829" s="693">
        <f t="shared" si="648"/>
        <v>1.1643501775449086E-6</v>
      </c>
      <c r="AA829" s="693">
        <f t="shared" si="648"/>
        <v>6.6780399491698779E-13</v>
      </c>
      <c r="AB829" s="693">
        <f t="shared" si="648"/>
        <v>4.4069314856740867E-13</v>
      </c>
      <c r="AC829" s="693">
        <f t="shared" si="648"/>
        <v>2.0208881353772688E-12</v>
      </c>
      <c r="AD829" s="693">
        <f t="shared" si="648"/>
        <v>3.3615518298721661E-13</v>
      </c>
      <c r="AE829" s="693">
        <f t="shared" si="648"/>
        <v>4.153082075890336E-13</v>
      </c>
      <c r="AF829" s="693">
        <f t="shared" si="648"/>
        <v>3.9948320785664462E-13</v>
      </c>
      <c r="AG829" s="693"/>
    </row>
    <row r="830" spans="1:33" s="694" customFormat="1" x14ac:dyDescent="0.2">
      <c r="A830" s="691" t="s">
        <v>683</v>
      </c>
      <c r="B830" s="692"/>
      <c r="C830" s="693">
        <f t="shared" ref="C830:AF830" si="649">C459^2/C$133^2</f>
        <v>4.8741565452827259E-8</v>
      </c>
      <c r="D830" s="693">
        <f t="shared" si="649"/>
        <v>1.282894740534554E-5</v>
      </c>
      <c r="E830" s="693">
        <f t="shared" si="649"/>
        <v>3.1780586763711852E-6</v>
      </c>
      <c r="F830" s="693">
        <f t="shared" si="649"/>
        <v>1.541851598179734E-6</v>
      </c>
      <c r="G830" s="693">
        <f t="shared" si="649"/>
        <v>6.4676017961489961E-7</v>
      </c>
      <c r="H830" s="693">
        <f t="shared" si="649"/>
        <v>3.1473043223885358E-6</v>
      </c>
      <c r="I830" s="693">
        <f t="shared" si="649"/>
        <v>1.318820929090544E-6</v>
      </c>
      <c r="J830" s="693">
        <f t="shared" si="649"/>
        <v>1.8817291525435936E-6</v>
      </c>
      <c r="K830" s="693">
        <f t="shared" si="649"/>
        <v>1.2085676458837553E-9</v>
      </c>
      <c r="L830" s="693">
        <f t="shared" si="649"/>
        <v>3.5353499729719481E-9</v>
      </c>
      <c r="M830" s="693">
        <f t="shared" si="649"/>
        <v>3.9825784367821679E-9</v>
      </c>
      <c r="N830" s="693">
        <f t="shared" si="649"/>
        <v>2.2541961353089356E-9</v>
      </c>
      <c r="O830" s="693">
        <f t="shared" si="649"/>
        <v>1.774043136556961E-8</v>
      </c>
      <c r="P830" s="693">
        <f t="shared" si="649"/>
        <v>3.6611361748345726E-9</v>
      </c>
      <c r="Q830" s="693">
        <f t="shared" si="649"/>
        <v>5.878684228825517E-8</v>
      </c>
      <c r="R830" s="693">
        <f t="shared" si="649"/>
        <v>2.2428223192207939E-7</v>
      </c>
      <c r="S830" s="693">
        <f t="shared" si="649"/>
        <v>2.5896287920587586E-7</v>
      </c>
      <c r="T830" s="693">
        <f t="shared" si="649"/>
        <v>3.2918562083162033E-7</v>
      </c>
      <c r="U830" s="693">
        <f t="shared" si="649"/>
        <v>1.0367196729503334E-6</v>
      </c>
      <c r="V830" s="693">
        <f t="shared" si="649"/>
        <v>1.7763412578524325E-6</v>
      </c>
      <c r="W830" s="693">
        <f t="shared" si="649"/>
        <v>4.23516555544464E-6</v>
      </c>
      <c r="X830" s="693">
        <f t="shared" si="649"/>
        <v>2.142105636929529E-7</v>
      </c>
      <c r="Y830" s="693">
        <f t="shared" si="649"/>
        <v>6.6821461300871986E-7</v>
      </c>
      <c r="Z830" s="693">
        <f t="shared" si="649"/>
        <v>8.4940490074199055E-7</v>
      </c>
      <c r="AA830" s="693">
        <f t="shared" si="649"/>
        <v>4.8716957918417175E-13</v>
      </c>
      <c r="AB830" s="693">
        <f t="shared" si="649"/>
        <v>3.2148998414365541E-13</v>
      </c>
      <c r="AC830" s="693">
        <f t="shared" si="649"/>
        <v>1.4742577612348829E-12</v>
      </c>
      <c r="AD830" s="693">
        <f t="shared" si="649"/>
        <v>2.4522851058538143E-13</v>
      </c>
      <c r="AE830" s="693">
        <f t="shared" si="649"/>
        <v>3.029714201515558E-13</v>
      </c>
      <c r="AF830" s="693">
        <f t="shared" si="649"/>
        <v>2.9142692727805045E-13</v>
      </c>
      <c r="AG830" s="693"/>
    </row>
    <row r="831" spans="1:33" s="694" customFormat="1" x14ac:dyDescent="0.2">
      <c r="A831" s="691" t="s">
        <v>685</v>
      </c>
      <c r="B831" s="692"/>
      <c r="C831" s="693">
        <f t="shared" ref="C831:AF831" si="650">C461^2/C$133^2</f>
        <v>5.5572180712005841E-6</v>
      </c>
      <c r="D831" s="693">
        <f t="shared" si="650"/>
        <v>6.7465467196070172E-4</v>
      </c>
      <c r="E831" s="693">
        <f t="shared" si="650"/>
        <v>4.3913116408141495E-4</v>
      </c>
      <c r="F831" s="693">
        <f t="shared" si="650"/>
        <v>2.3044622489361202E-3</v>
      </c>
      <c r="G831" s="693">
        <f t="shared" si="650"/>
        <v>7.7419387954504135E-4</v>
      </c>
      <c r="H831" s="693">
        <f t="shared" si="650"/>
        <v>8.2623025221237757E-4</v>
      </c>
      <c r="I831" s="693">
        <f t="shared" si="650"/>
        <v>2.2054245206145723E-4</v>
      </c>
      <c r="J831" s="693">
        <f t="shared" si="650"/>
        <v>3.0668126235284176E-4</v>
      </c>
      <c r="K831" s="693">
        <f t="shared" si="650"/>
        <v>0</v>
      </c>
      <c r="L831" s="693">
        <f t="shared" si="650"/>
        <v>0</v>
      </c>
      <c r="M831" s="693">
        <f t="shared" si="650"/>
        <v>0</v>
      </c>
      <c r="N831" s="693">
        <f t="shared" si="650"/>
        <v>0</v>
      </c>
      <c r="O831" s="693">
        <f t="shared" si="650"/>
        <v>0</v>
      </c>
      <c r="P831" s="693">
        <f t="shared" si="650"/>
        <v>0</v>
      </c>
      <c r="Q831" s="693">
        <f t="shared" si="650"/>
        <v>0</v>
      </c>
      <c r="R831" s="693">
        <f t="shared" si="650"/>
        <v>0</v>
      </c>
      <c r="S831" s="693">
        <f t="shared" si="650"/>
        <v>1.0832704858691366E-10</v>
      </c>
      <c r="T831" s="693">
        <f t="shared" si="650"/>
        <v>1.3130000677341089E-8</v>
      </c>
      <c r="U831" s="693">
        <f t="shared" si="650"/>
        <v>7.594135027331824E-8</v>
      </c>
      <c r="V831" s="693">
        <f t="shared" si="650"/>
        <v>0</v>
      </c>
      <c r="W831" s="693">
        <f t="shared" si="650"/>
        <v>0</v>
      </c>
      <c r="X831" s="693">
        <f t="shared" si="650"/>
        <v>0</v>
      </c>
      <c r="Y831" s="693">
        <f t="shared" si="650"/>
        <v>1.0314941660486621E-8</v>
      </c>
      <c r="Z831" s="693">
        <f t="shared" si="650"/>
        <v>4.0970479497047782E-10</v>
      </c>
      <c r="AA831" s="693">
        <f t="shared" si="650"/>
        <v>1.5682349109033078E-12</v>
      </c>
      <c r="AB831" s="693">
        <f t="shared" si="650"/>
        <v>7.0033160590217411E-13</v>
      </c>
      <c r="AC831" s="693">
        <f t="shared" si="650"/>
        <v>2.6925174432383452E-13</v>
      </c>
      <c r="AD831" s="693">
        <f t="shared" si="650"/>
        <v>7.0921010030471252E-12</v>
      </c>
      <c r="AE831" s="693">
        <f t="shared" si="650"/>
        <v>6.981452249154247E-12</v>
      </c>
      <c r="AF831" s="693">
        <f t="shared" si="650"/>
        <v>1.9375716267568437E-11</v>
      </c>
      <c r="AG831" s="693"/>
    </row>
    <row r="832" spans="1:33" s="694" customFormat="1" x14ac:dyDescent="0.2">
      <c r="A832" s="691" t="s">
        <v>687</v>
      </c>
      <c r="B832" s="692"/>
      <c r="C832" s="693">
        <f t="shared" ref="C832:AF832" si="651">C362^2/C$127^2</f>
        <v>6.6343953941678642E-9</v>
      </c>
      <c r="D832" s="693">
        <f t="shared" si="651"/>
        <v>9.8335695955096806E-7</v>
      </c>
      <c r="E832" s="693">
        <f t="shared" si="651"/>
        <v>4.1499424523924735E-7</v>
      </c>
      <c r="F832" s="693">
        <f t="shared" si="651"/>
        <v>1.42166992293109E-7</v>
      </c>
      <c r="G832" s="693">
        <f t="shared" si="651"/>
        <v>2.628528989529598E-7</v>
      </c>
      <c r="H832" s="693">
        <f t="shared" si="651"/>
        <v>3.9703587521931095E-6</v>
      </c>
      <c r="I832" s="693">
        <f t="shared" si="651"/>
        <v>7.9952134831813588E-8</v>
      </c>
      <c r="J832" s="693">
        <f t="shared" si="651"/>
        <v>2.3962963797225156E-6</v>
      </c>
      <c r="K832" s="693">
        <f t="shared" si="651"/>
        <v>9.5750079721416189E-10</v>
      </c>
      <c r="L832" s="693">
        <f t="shared" si="651"/>
        <v>5.0815371970747179E-10</v>
      </c>
      <c r="M832" s="693">
        <f t="shared" si="651"/>
        <v>2.0523825616443573E-10</v>
      </c>
      <c r="N832" s="693">
        <f t="shared" si="651"/>
        <v>5.5800739294517468E-10</v>
      </c>
      <c r="O832" s="693">
        <f t="shared" si="651"/>
        <v>8.4590196577169252E-10</v>
      </c>
      <c r="P832" s="693">
        <f t="shared" si="651"/>
        <v>1.7978181793357457E-8</v>
      </c>
      <c r="Q832" s="693">
        <f t="shared" si="651"/>
        <v>5.547393485815557E-9</v>
      </c>
      <c r="R832" s="693">
        <f t="shared" si="651"/>
        <v>3.1663957782043335E-9</v>
      </c>
      <c r="S832" s="693">
        <f t="shared" si="651"/>
        <v>2.5378566878717632E-9</v>
      </c>
      <c r="T832" s="693">
        <f t="shared" si="651"/>
        <v>2.9432762873945498E-9</v>
      </c>
      <c r="U832" s="693">
        <f t="shared" si="651"/>
        <v>1.8005051804153609E-8</v>
      </c>
      <c r="V832" s="693">
        <f t="shared" si="651"/>
        <v>1.4955620663296942E-8</v>
      </c>
      <c r="W832" s="693">
        <f t="shared" si="651"/>
        <v>1.2873669538158292E-8</v>
      </c>
      <c r="X832" s="693">
        <f t="shared" si="651"/>
        <v>1.4021109415003372E-9</v>
      </c>
      <c r="Y832" s="693">
        <f t="shared" si="651"/>
        <v>1.6654873355731218E-9</v>
      </c>
      <c r="Z832" s="693">
        <f t="shared" si="651"/>
        <v>1.006988646948859E-8</v>
      </c>
      <c r="AA832" s="693">
        <f t="shared" si="651"/>
        <v>3.0242892459027669E-10</v>
      </c>
      <c r="AB832" s="693">
        <f t="shared" si="651"/>
        <v>9.3000110190082303E-10</v>
      </c>
      <c r="AC832" s="693">
        <f t="shared" si="651"/>
        <v>9.7977421761571392E-10</v>
      </c>
      <c r="AD832" s="693">
        <f t="shared" si="651"/>
        <v>4.1732213017375233E-10</v>
      </c>
      <c r="AE832" s="693">
        <f t="shared" si="651"/>
        <v>1.567692814286108E-9</v>
      </c>
      <c r="AF832" s="693">
        <f t="shared" si="651"/>
        <v>6.6922825365794139E-10</v>
      </c>
      <c r="AG832" s="693"/>
    </row>
    <row r="833" spans="1:33" s="694" customFormat="1" x14ac:dyDescent="0.2">
      <c r="A833" s="691" t="s">
        <v>689</v>
      </c>
      <c r="B833" s="692"/>
      <c r="C833" s="693">
        <f t="shared" ref="C833:AF833" si="652">C366^2/C$127^2</f>
        <v>2.4745186427172255E-8</v>
      </c>
      <c r="D833" s="693">
        <f t="shared" si="652"/>
        <v>3.6694103024857182E-8</v>
      </c>
      <c r="E833" s="693">
        <f t="shared" si="652"/>
        <v>2.9739379485857464E-8</v>
      </c>
      <c r="F833" s="693">
        <f t="shared" si="652"/>
        <v>2.754453371984332E-8</v>
      </c>
      <c r="G833" s="693">
        <f t="shared" si="652"/>
        <v>3.0235870169506319E-8</v>
      </c>
      <c r="H833" s="693">
        <f t="shared" si="652"/>
        <v>3.738138150334577E-8</v>
      </c>
      <c r="I833" s="693">
        <f t="shared" si="652"/>
        <v>2.6477660648565969E-8</v>
      </c>
      <c r="J833" s="693">
        <f t="shared" si="652"/>
        <v>4.1456260756577803E-8</v>
      </c>
      <c r="K833" s="693">
        <f t="shared" si="652"/>
        <v>8.2318006429335241E-9</v>
      </c>
      <c r="L833" s="693">
        <f t="shared" si="652"/>
        <v>7.510976714368972E-9</v>
      </c>
      <c r="M833" s="693">
        <f t="shared" si="652"/>
        <v>7.1838923589130436E-9</v>
      </c>
      <c r="N833" s="693">
        <f t="shared" si="652"/>
        <v>7.8598885957092502E-9</v>
      </c>
      <c r="O833" s="693">
        <f t="shared" si="652"/>
        <v>8.0215941693106434E-9</v>
      </c>
      <c r="P833" s="693">
        <f t="shared" si="652"/>
        <v>3.9044614062752309E-8</v>
      </c>
      <c r="Q833" s="693">
        <f t="shared" si="652"/>
        <v>7.6278587652705211E-9</v>
      </c>
      <c r="R833" s="693">
        <f t="shared" si="652"/>
        <v>9.0706225037673157E-9</v>
      </c>
      <c r="S833" s="693">
        <f t="shared" si="652"/>
        <v>7.8320090942171686E-9</v>
      </c>
      <c r="T833" s="693">
        <f t="shared" si="652"/>
        <v>7.9110440197220038E-9</v>
      </c>
      <c r="U833" s="693">
        <f t="shared" si="652"/>
        <v>8.9974347805030691E-9</v>
      </c>
      <c r="V833" s="693">
        <f t="shared" si="652"/>
        <v>8.5563186398081096E-9</v>
      </c>
      <c r="W833" s="693">
        <f t="shared" si="652"/>
        <v>8.5797872934051022E-9</v>
      </c>
      <c r="X833" s="693">
        <f t="shared" si="652"/>
        <v>7.9055181142694909E-9</v>
      </c>
      <c r="Y833" s="693">
        <f t="shared" si="652"/>
        <v>7.672366277751654E-9</v>
      </c>
      <c r="Z833" s="693">
        <f t="shared" si="652"/>
        <v>8.6802919649099374E-9</v>
      </c>
      <c r="AA833" s="693">
        <f t="shared" si="652"/>
        <v>2.4324159056284616E-8</v>
      </c>
      <c r="AB833" s="693">
        <f t="shared" si="652"/>
        <v>2.5082437405972849E-8</v>
      </c>
      <c r="AC833" s="693">
        <f t="shared" si="652"/>
        <v>2.4601987377499242E-8</v>
      </c>
      <c r="AD833" s="693">
        <f t="shared" si="652"/>
        <v>2.4239253189957016E-8</v>
      </c>
      <c r="AE833" s="693">
        <f t="shared" si="652"/>
        <v>2.7995041054889882E-8</v>
      </c>
      <c r="AF833" s="693">
        <f t="shared" si="652"/>
        <v>2.4839368010697705E-8</v>
      </c>
      <c r="AG833" s="693"/>
    </row>
    <row r="834" spans="1:33" s="694" customFormat="1" x14ac:dyDescent="0.2">
      <c r="A834" s="691" t="s">
        <v>691</v>
      </c>
      <c r="B834" s="692"/>
      <c r="C834" s="693">
        <f t="shared" ref="C834:AF834" si="653">C368^2/C$127^2</f>
        <v>3.4909880940696386E-9</v>
      </c>
      <c r="D834" s="693">
        <f t="shared" si="653"/>
        <v>1.0738780015841111E-6</v>
      </c>
      <c r="E834" s="693">
        <f t="shared" si="653"/>
        <v>2.6782028797925099E-7</v>
      </c>
      <c r="F834" s="693">
        <f t="shared" si="653"/>
        <v>9.6749157218681198E-8</v>
      </c>
      <c r="G834" s="693">
        <f t="shared" si="653"/>
        <v>5.7983756551737621E-8</v>
      </c>
      <c r="H834" s="693">
        <f t="shared" si="653"/>
        <v>2.9935886681649351E-7</v>
      </c>
      <c r="I834" s="693">
        <f t="shared" si="653"/>
        <v>1.0421624160688594E-7</v>
      </c>
      <c r="J834" s="693">
        <f t="shared" si="653"/>
        <v>1.5804681303463173E-7</v>
      </c>
      <c r="K834" s="693">
        <f t="shared" si="653"/>
        <v>5.6335727273552375E-11</v>
      </c>
      <c r="L834" s="693">
        <f t="shared" si="653"/>
        <v>1.1174355346915629E-10</v>
      </c>
      <c r="M834" s="693">
        <f t="shared" si="653"/>
        <v>1.3108546389461675E-10</v>
      </c>
      <c r="N834" s="693">
        <f t="shared" si="653"/>
        <v>5.3816326899708642E-11</v>
      </c>
      <c r="O834" s="693">
        <f t="shared" si="653"/>
        <v>7.881385730731998E-10</v>
      </c>
      <c r="P834" s="693">
        <f t="shared" si="653"/>
        <v>1.841768450174726E-10</v>
      </c>
      <c r="Q834" s="693">
        <f t="shared" si="653"/>
        <v>4.8600734781057671E-9</v>
      </c>
      <c r="R834" s="693">
        <f t="shared" si="653"/>
        <v>2.0373267254759881E-9</v>
      </c>
      <c r="S834" s="693">
        <f t="shared" si="653"/>
        <v>2.1891832234731324E-9</v>
      </c>
      <c r="T834" s="693">
        <f t="shared" si="653"/>
        <v>2.7498183172112163E-9</v>
      </c>
      <c r="U834" s="693">
        <f t="shared" si="653"/>
        <v>8.6485090630386346E-9</v>
      </c>
      <c r="V834" s="693">
        <f t="shared" si="653"/>
        <v>3.212161009745426E-8</v>
      </c>
      <c r="W834" s="693">
        <f t="shared" si="653"/>
        <v>4.3076571560536019E-8</v>
      </c>
      <c r="X834" s="693">
        <f t="shared" si="653"/>
        <v>2.447840734492431E-9</v>
      </c>
      <c r="Y834" s="693">
        <f t="shared" si="653"/>
        <v>5.6228151664467584E-9</v>
      </c>
      <c r="Z834" s="693">
        <f t="shared" si="653"/>
        <v>7.0963214126765464E-9</v>
      </c>
      <c r="AA834" s="693">
        <f t="shared" si="653"/>
        <v>5.1368575164189636E-11</v>
      </c>
      <c r="AB834" s="693">
        <f t="shared" si="653"/>
        <v>3.4167382967112745E-11</v>
      </c>
      <c r="AC834" s="693">
        <f t="shared" si="653"/>
        <v>1.5499397079296284E-10</v>
      </c>
      <c r="AD834" s="693">
        <f t="shared" si="653"/>
        <v>2.6137523593169496E-11</v>
      </c>
      <c r="AE834" s="693">
        <f t="shared" si="653"/>
        <v>3.2395777476065692E-11</v>
      </c>
      <c r="AF834" s="693">
        <f t="shared" si="653"/>
        <v>3.0917142225387472E-11</v>
      </c>
      <c r="AG834" s="693"/>
    </row>
    <row r="835" spans="1:33" s="694" customFormat="1" x14ac:dyDescent="0.2">
      <c r="A835" s="691" t="s">
        <v>693</v>
      </c>
      <c r="B835" s="692"/>
      <c r="C835" s="693">
        <f t="shared" ref="C835:AF835" si="654">C658^2/C$84^2</f>
        <v>5.2990560220163752E-11</v>
      </c>
      <c r="D835" s="693">
        <f t="shared" si="654"/>
        <v>7.4214585881820223E-9</v>
      </c>
      <c r="E835" s="693">
        <f t="shared" si="654"/>
        <v>3.6585404573537914E-9</v>
      </c>
      <c r="F835" s="693">
        <f t="shared" si="654"/>
        <v>2.379480040807747E-8</v>
      </c>
      <c r="G835" s="693">
        <f t="shared" si="654"/>
        <v>5.7827650613081925E-9</v>
      </c>
      <c r="H835" s="693">
        <f t="shared" si="654"/>
        <v>5.8960180811746128E-9</v>
      </c>
      <c r="I835" s="693">
        <f t="shared" si="654"/>
        <v>1.9780663612928129E-9</v>
      </c>
      <c r="J835" s="693">
        <f t="shared" si="654"/>
        <v>2.4654756883250007E-9</v>
      </c>
      <c r="K835" s="693">
        <f t="shared" si="654"/>
        <v>4.871694331590127E-13</v>
      </c>
      <c r="L835" s="693">
        <f t="shared" si="654"/>
        <v>9.8489571936936393E-13</v>
      </c>
      <c r="M835" s="693">
        <f t="shared" si="654"/>
        <v>9.3506376657504936E-13</v>
      </c>
      <c r="N835" s="693">
        <f t="shared" si="654"/>
        <v>7.3981313822924892E-13</v>
      </c>
      <c r="O835" s="693">
        <f t="shared" si="654"/>
        <v>2.5543049356871438E-12</v>
      </c>
      <c r="P835" s="693">
        <f t="shared" si="654"/>
        <v>1.0015592617797816E-12</v>
      </c>
      <c r="Q835" s="693">
        <f t="shared" si="654"/>
        <v>1.0298463676857373E-11</v>
      </c>
      <c r="R835" s="693">
        <f t="shared" si="654"/>
        <v>8.0993191123489532E-11</v>
      </c>
      <c r="S835" s="693">
        <f t="shared" si="654"/>
        <v>9.5604649154727817E-11</v>
      </c>
      <c r="T835" s="693">
        <f t="shared" si="654"/>
        <v>1.2749627912667227E-10</v>
      </c>
      <c r="U835" s="693">
        <f t="shared" si="654"/>
        <v>3.3336726193421618E-10</v>
      </c>
      <c r="V835" s="693">
        <f t="shared" si="654"/>
        <v>5.5374844167501877E-10</v>
      </c>
      <c r="W835" s="693">
        <f t="shared" si="654"/>
        <v>1.1985345607898601E-9</v>
      </c>
      <c r="X835" s="693">
        <f t="shared" si="654"/>
        <v>6.2470796776207933E-11</v>
      </c>
      <c r="Y835" s="693">
        <f t="shared" si="654"/>
        <v>2.0630324728391219E-10</v>
      </c>
      <c r="Z835" s="693">
        <f t="shared" si="654"/>
        <v>2.5133653999477457E-10</v>
      </c>
      <c r="AA835" s="693">
        <f t="shared" si="654"/>
        <v>9.757790286615661E-18</v>
      </c>
      <c r="AB835" s="693">
        <f t="shared" si="654"/>
        <v>7.1969224555991854E-18</v>
      </c>
      <c r="AC835" s="693">
        <f t="shared" si="654"/>
        <v>9.1314306827705672E-18</v>
      </c>
      <c r="AD835" s="693">
        <f t="shared" si="654"/>
        <v>1.1993144310435143E-17</v>
      </c>
      <c r="AE835" s="693">
        <f t="shared" si="654"/>
        <v>1.3467239910370065E-17</v>
      </c>
      <c r="AF835" s="693">
        <f t="shared" si="654"/>
        <v>9.7561611083812126E-18</v>
      </c>
      <c r="AG835" s="693"/>
    </row>
    <row r="836" spans="1:33" s="694" customFormat="1" x14ac:dyDescent="0.2">
      <c r="A836" s="691" t="s">
        <v>695</v>
      </c>
      <c r="B836" s="692"/>
      <c r="C836" s="693">
        <f t="shared" ref="C836:AF836" si="655">C660^2/C$84^2</f>
        <v>2.1279397219908283E-11</v>
      </c>
      <c r="D836" s="693">
        <f t="shared" si="655"/>
        <v>1.6515516721787447E-10</v>
      </c>
      <c r="E836" s="693">
        <f t="shared" si="655"/>
        <v>2.2876570445502862E-10</v>
      </c>
      <c r="F836" s="693">
        <f t="shared" si="655"/>
        <v>6.9556719117109675E-11</v>
      </c>
      <c r="G836" s="693">
        <f t="shared" si="655"/>
        <v>2.3809055196205967E-10</v>
      </c>
      <c r="H836" s="693">
        <f t="shared" si="655"/>
        <v>5.9316114553712713E-10</v>
      </c>
      <c r="I836" s="693">
        <f t="shared" si="655"/>
        <v>2.0645526412199075E-10</v>
      </c>
      <c r="J836" s="693">
        <f t="shared" si="655"/>
        <v>6.7756984333265452E-10</v>
      </c>
      <c r="K836" s="693">
        <f t="shared" si="655"/>
        <v>6.6051508572705953E-9</v>
      </c>
      <c r="L836" s="693">
        <f t="shared" si="655"/>
        <v>6.4368573377012512E-9</v>
      </c>
      <c r="M836" s="693">
        <f t="shared" si="655"/>
        <v>6.3791189237481513E-9</v>
      </c>
      <c r="N836" s="693">
        <f t="shared" si="655"/>
        <v>7.0679331774153961E-9</v>
      </c>
      <c r="O836" s="693">
        <f t="shared" si="655"/>
        <v>6.009800153989089E-9</v>
      </c>
      <c r="P836" s="693">
        <f t="shared" si="655"/>
        <v>6.691773926601616E-9</v>
      </c>
      <c r="Q836" s="693">
        <f t="shared" si="655"/>
        <v>4.967777844795189E-9</v>
      </c>
      <c r="R836" s="693">
        <f t="shared" si="655"/>
        <v>2.6648689920024932E-8</v>
      </c>
      <c r="S836" s="693">
        <f t="shared" si="655"/>
        <v>3.407083864339445E-8</v>
      </c>
      <c r="T836" s="693">
        <f t="shared" si="655"/>
        <v>3.1625924562702308E-8</v>
      </c>
      <c r="U836" s="693">
        <f t="shared" si="655"/>
        <v>5.284790345995549E-8</v>
      </c>
      <c r="V836" s="693">
        <f t="shared" si="655"/>
        <v>2.7333849594512385E-8</v>
      </c>
      <c r="W836" s="693">
        <f t="shared" si="655"/>
        <v>2.1224815810363713E-8</v>
      </c>
      <c r="X836" s="693">
        <f t="shared" si="655"/>
        <v>1.6027937162080962E-8</v>
      </c>
      <c r="Y836" s="693">
        <f t="shared" si="655"/>
        <v>1.9988710582037113E-8</v>
      </c>
      <c r="Z836" s="693">
        <f t="shared" si="655"/>
        <v>9.6343734704739472E-9</v>
      </c>
      <c r="AA836" s="693">
        <f t="shared" si="655"/>
        <v>6.2003857112344708E-13</v>
      </c>
      <c r="AB836" s="693">
        <f t="shared" si="655"/>
        <v>4.1057015630822725E-13</v>
      </c>
      <c r="AC836" s="693">
        <f t="shared" si="655"/>
        <v>5.4795234286913387E-13</v>
      </c>
      <c r="AD836" s="693">
        <f t="shared" si="655"/>
        <v>7.7762949194977852E-13</v>
      </c>
      <c r="AE836" s="693">
        <f t="shared" si="655"/>
        <v>8.354435600310288E-13</v>
      </c>
      <c r="AF836" s="693">
        <f t="shared" si="655"/>
        <v>5.813589134388054E-13</v>
      </c>
      <c r="AG836" s="693"/>
    </row>
    <row r="837" spans="1:33" s="694" customFormat="1" x14ac:dyDescent="0.2">
      <c r="A837" s="691" t="s">
        <v>697</v>
      </c>
      <c r="B837" s="692"/>
      <c r="C837" s="693">
        <f t="shared" ref="C837:AF837" si="656">C662^2/C$84^2</f>
        <v>1.9151457497917463E-12</v>
      </c>
      <c r="D837" s="693">
        <f t="shared" si="656"/>
        <v>1.4863965049608709E-11</v>
      </c>
      <c r="E837" s="693">
        <f t="shared" si="656"/>
        <v>2.0588913400952576E-11</v>
      </c>
      <c r="F837" s="693">
        <f t="shared" si="656"/>
        <v>6.2601047205398723E-12</v>
      </c>
      <c r="G837" s="693">
        <f t="shared" si="656"/>
        <v>2.1428149676585372E-11</v>
      </c>
      <c r="H837" s="693">
        <f t="shared" si="656"/>
        <v>5.3384503098341424E-11</v>
      </c>
      <c r="I837" s="693">
        <f t="shared" si="656"/>
        <v>1.8580973770979165E-11</v>
      </c>
      <c r="J837" s="693">
        <f t="shared" si="656"/>
        <v>6.0981285899938919E-11</v>
      </c>
      <c r="K837" s="693">
        <f t="shared" si="656"/>
        <v>5.9446357715435368E-10</v>
      </c>
      <c r="L837" s="693">
        <f t="shared" si="656"/>
        <v>5.7931716039311281E-10</v>
      </c>
      <c r="M837" s="693">
        <f t="shared" si="656"/>
        <v>5.7412070313733383E-10</v>
      </c>
      <c r="N837" s="693">
        <f t="shared" si="656"/>
        <v>6.3611398596738572E-10</v>
      </c>
      <c r="O837" s="693">
        <f t="shared" si="656"/>
        <v>5.4088201385901816E-10</v>
      </c>
      <c r="P837" s="693">
        <f t="shared" si="656"/>
        <v>6.0225965339414564E-10</v>
      </c>
      <c r="Q837" s="693">
        <f t="shared" si="656"/>
        <v>4.4710000603156713E-10</v>
      </c>
      <c r="R837" s="693">
        <f t="shared" si="656"/>
        <v>2.3983820928022445E-9</v>
      </c>
      <c r="S837" s="693">
        <f t="shared" si="656"/>
        <v>3.0663754779055014E-9</v>
      </c>
      <c r="T837" s="693">
        <f t="shared" si="656"/>
        <v>2.8463332106432087E-9</v>
      </c>
      <c r="U837" s="693">
        <f t="shared" si="656"/>
        <v>4.7563113113959967E-9</v>
      </c>
      <c r="V837" s="693">
        <f t="shared" si="656"/>
        <v>2.4600464635061146E-9</v>
      </c>
      <c r="W837" s="693">
        <f t="shared" si="656"/>
        <v>1.910233422932734E-9</v>
      </c>
      <c r="X837" s="693">
        <f t="shared" si="656"/>
        <v>1.4425143445872865E-9</v>
      </c>
      <c r="Y837" s="693">
        <f t="shared" si="656"/>
        <v>1.7989839523833406E-9</v>
      </c>
      <c r="Z837" s="693">
        <f t="shared" si="656"/>
        <v>8.6709361234265532E-10</v>
      </c>
      <c r="AA837" s="693">
        <f t="shared" si="656"/>
        <v>5.5803471401110242E-14</v>
      </c>
      <c r="AB837" s="693">
        <f t="shared" si="656"/>
        <v>3.6951314067740451E-14</v>
      </c>
      <c r="AC837" s="693">
        <f t="shared" si="656"/>
        <v>4.9315710858222038E-14</v>
      </c>
      <c r="AD837" s="693">
        <f t="shared" si="656"/>
        <v>6.998665427548007E-14</v>
      </c>
      <c r="AE837" s="693">
        <f t="shared" si="656"/>
        <v>7.5189920402792562E-14</v>
      </c>
      <c r="AF837" s="693">
        <f t="shared" si="656"/>
        <v>5.2322302209492515E-14</v>
      </c>
      <c r="AG837" s="693"/>
    </row>
    <row r="838" spans="1:33" s="519" customFormat="1" x14ac:dyDescent="0.2">
      <c r="A838" s="518" t="s">
        <v>674</v>
      </c>
      <c r="B838" s="704" t="s">
        <v>698</v>
      </c>
      <c r="C838" s="80">
        <f t="shared" ref="C838:C849" si="657">IF(C826&gt;0,C826/C$825,0.000001)</f>
        <v>2.0297366417635567E-3</v>
      </c>
      <c r="D838" s="80">
        <f t="shared" ref="D838:AF847" si="658">IF(D826&gt;0,D826/D$825,0.000001)</f>
        <v>3.3674395241762244E-4</v>
      </c>
      <c r="E838" s="80">
        <f t="shared" si="658"/>
        <v>1.2966395193811248E-4</v>
      </c>
      <c r="F838" s="80">
        <f t="shared" si="658"/>
        <v>1.4180180340827237E-5</v>
      </c>
      <c r="G838" s="80">
        <f t="shared" si="658"/>
        <v>9.364396575470838E-5</v>
      </c>
      <c r="H838" s="80">
        <f t="shared" si="658"/>
        <v>7.1678507379860511E-5</v>
      </c>
      <c r="I838" s="80">
        <f t="shared" si="658"/>
        <v>4.3173285821301573E-4</v>
      </c>
      <c r="J838" s="80">
        <f t="shared" si="658"/>
        <v>1.0670600204437817E-4</v>
      </c>
      <c r="K838" s="80">
        <f t="shared" si="658"/>
        <v>3.3787022136051718E-2</v>
      </c>
      <c r="L838" s="80">
        <f t="shared" si="658"/>
        <v>4.6467455949953163E-2</v>
      </c>
      <c r="M838" s="80">
        <f t="shared" si="658"/>
        <v>0.14689469893016971</v>
      </c>
      <c r="N838" s="80">
        <f t="shared" si="658"/>
        <v>5.1903262278348461E-2</v>
      </c>
      <c r="O838" s="80">
        <f t="shared" si="658"/>
        <v>4.8648688099061262E-2</v>
      </c>
      <c r="P838" s="80">
        <f t="shared" si="658"/>
        <v>6.3614402472699297E-2</v>
      </c>
      <c r="Q838" s="80">
        <f t="shared" si="658"/>
        <v>0.29150369703880186</v>
      </c>
      <c r="R838" s="80">
        <f t="shared" si="658"/>
        <v>5.299481528799857E-2</v>
      </c>
      <c r="S838" s="80">
        <f t="shared" si="658"/>
        <v>9.5298341809223017E-2</v>
      </c>
      <c r="T838" s="80">
        <f t="shared" si="658"/>
        <v>4.8054174816625578E-2</v>
      </c>
      <c r="U838" s="80">
        <f t="shared" si="658"/>
        <v>2.6907976886867149E-2</v>
      </c>
      <c r="V838" s="80">
        <f t="shared" si="658"/>
        <v>3.4608734459612774E-2</v>
      </c>
      <c r="W838" s="80">
        <f t="shared" si="658"/>
        <v>5.2132443343744124E-3</v>
      </c>
      <c r="X838" s="80">
        <f t="shared" si="658"/>
        <v>6.0838352151843987E-2</v>
      </c>
      <c r="Y838" s="80">
        <f t="shared" si="658"/>
        <v>5.0227248955192538E-2</v>
      </c>
      <c r="Z838" s="80">
        <f t="shared" si="658"/>
        <v>4.4760265791140043E-2</v>
      </c>
      <c r="AA838" s="80">
        <f t="shared" si="658"/>
        <v>0.23524655575772796</v>
      </c>
      <c r="AB838" s="80">
        <f t="shared" si="658"/>
        <v>0.44083853683636232</v>
      </c>
      <c r="AC838" s="80">
        <f t="shared" si="658"/>
        <v>0.11002105058989869</v>
      </c>
      <c r="AD838" s="80">
        <f t="shared" si="658"/>
        <v>0.15951974252348128</v>
      </c>
      <c r="AE838" s="80">
        <f t="shared" si="658"/>
        <v>0.28480026815019033</v>
      </c>
      <c r="AF838" s="80">
        <f t="shared" si="658"/>
        <v>0.1734335621963734</v>
      </c>
      <c r="AG838" s="37"/>
    </row>
    <row r="839" spans="1:33" s="519" customFormat="1" x14ac:dyDescent="0.2">
      <c r="A839" s="518" t="s">
        <v>676</v>
      </c>
      <c r="B839" s="704" t="s">
        <v>699</v>
      </c>
      <c r="C839" s="80">
        <f t="shared" si="657"/>
        <v>1.3305587252072943E-2</v>
      </c>
      <c r="D839" s="80">
        <f t="shared" ref="D839:R839" si="659">IF(D827&gt;0,D827/D$825,0.000001)</f>
        <v>0.15933106104768888</v>
      </c>
      <c r="E839" s="80">
        <f t="shared" si="659"/>
        <v>3.3854637580990957E-2</v>
      </c>
      <c r="F839" s="80">
        <f t="shared" si="659"/>
        <v>7.9405015703028926E-3</v>
      </c>
      <c r="G839" s="80">
        <f t="shared" si="659"/>
        <v>2.5409343454522056E-2</v>
      </c>
      <c r="H839" s="80">
        <f t="shared" si="659"/>
        <v>2.3790592518011921E-2</v>
      </c>
      <c r="I839" s="80">
        <f t="shared" si="659"/>
        <v>4.2232646270047136E-2</v>
      </c>
      <c r="J839" s="80">
        <f t="shared" si="659"/>
        <v>1.6213704630498274E-2</v>
      </c>
      <c r="K839" s="80">
        <f t="shared" si="659"/>
        <v>3.0133804954564671E-3</v>
      </c>
      <c r="L839" s="80">
        <f t="shared" si="659"/>
        <v>1.2125677490054427E-2</v>
      </c>
      <c r="M839" s="80">
        <f t="shared" si="659"/>
        <v>7.7750753478721341E-3</v>
      </c>
      <c r="N839" s="80">
        <f t="shared" si="659"/>
        <v>6.6735258109009658E-3</v>
      </c>
      <c r="O839" s="80">
        <f t="shared" si="659"/>
        <v>1.6355674515298638E-2</v>
      </c>
      <c r="P839" s="80">
        <f t="shared" si="659"/>
        <v>7.9676197848688336E-3</v>
      </c>
      <c r="Q839" s="80">
        <f t="shared" si="659"/>
        <v>9.8440023565130791E-2</v>
      </c>
      <c r="R839" s="80">
        <f t="shared" si="659"/>
        <v>0.15256561652300077</v>
      </c>
      <c r="S839" s="80">
        <f t="shared" si="658"/>
        <v>0.15412921354473269</v>
      </c>
      <c r="T839" s="80">
        <f t="shared" si="658"/>
        <v>0.19516455913941946</v>
      </c>
      <c r="U839" s="80">
        <f t="shared" si="658"/>
        <v>0.11351503778669507</v>
      </c>
      <c r="V839" s="80">
        <f t="shared" si="658"/>
        <v>0.12575195354442378</v>
      </c>
      <c r="W839" s="80">
        <f t="shared" si="658"/>
        <v>8.2562349454118042E-2</v>
      </c>
      <c r="X839" s="80">
        <f t="shared" si="658"/>
        <v>7.4722409483660338E-2</v>
      </c>
      <c r="Y839" s="80">
        <f t="shared" si="658"/>
        <v>0.10690764935568475</v>
      </c>
      <c r="Z839" s="80">
        <f t="shared" si="658"/>
        <v>9.8525394037412117E-2</v>
      </c>
      <c r="AA839" s="80">
        <f t="shared" si="658"/>
        <v>8.9325793614817701E-6</v>
      </c>
      <c r="AB839" s="80">
        <f t="shared" si="658"/>
        <v>7.3507685415368191E-6</v>
      </c>
      <c r="AC839" s="80">
        <f t="shared" si="658"/>
        <v>2.1766983079062225E-5</v>
      </c>
      <c r="AD839" s="80">
        <f t="shared" si="658"/>
        <v>1.0497869943850861E-5</v>
      </c>
      <c r="AE839" s="80">
        <f t="shared" si="658"/>
        <v>7.9262161727669835E-6</v>
      </c>
      <c r="AF839" s="80">
        <f t="shared" si="658"/>
        <v>2.2096466340411003E-5</v>
      </c>
      <c r="AG839" s="37"/>
    </row>
    <row r="840" spans="1:33" s="519" customFormat="1" x14ac:dyDescent="0.2">
      <c r="A840" s="518" t="s">
        <v>678</v>
      </c>
      <c r="B840" s="704" t="s">
        <v>704</v>
      </c>
      <c r="C840" s="80">
        <f t="shared" si="657"/>
        <v>5.3231481663370737E-2</v>
      </c>
      <c r="D840" s="80">
        <f t="shared" si="658"/>
        <v>1.3975762233566814E-2</v>
      </c>
      <c r="E840" s="80">
        <f t="shared" si="658"/>
        <v>1.5006657552092505E-2</v>
      </c>
      <c r="F840" s="80">
        <f t="shared" si="658"/>
        <v>1.1724663150913202E-2</v>
      </c>
      <c r="G840" s="80">
        <f t="shared" si="658"/>
        <v>1.2731131823813739E-2</v>
      </c>
      <c r="H840" s="80">
        <f t="shared" si="658"/>
        <v>1.3665474538832385E-2</v>
      </c>
      <c r="I840" s="80">
        <f t="shared" si="658"/>
        <v>1.5918368889905162E-2</v>
      </c>
      <c r="J840" s="80">
        <f t="shared" si="658"/>
        <v>1.5657827630102143E-2</v>
      </c>
      <c r="K840" s="80">
        <f t="shared" si="658"/>
        <v>0.79678402627489908</v>
      </c>
      <c r="L840" s="80">
        <f t="shared" si="658"/>
        <v>0.75284900065710958</v>
      </c>
      <c r="M840" s="80">
        <f t="shared" si="658"/>
        <v>0.67401107024164686</v>
      </c>
      <c r="N840" s="80">
        <f t="shared" si="658"/>
        <v>0.76469454470673237</v>
      </c>
      <c r="O840" s="80">
        <f t="shared" si="658"/>
        <v>0.58803409726421563</v>
      </c>
      <c r="P840" s="80">
        <f t="shared" si="658"/>
        <v>0.52213647875595848</v>
      </c>
      <c r="Q840" s="80">
        <f t="shared" si="658"/>
        <v>0.24535274073473923</v>
      </c>
      <c r="R840" s="80">
        <f t="shared" si="658"/>
        <v>1.9670863325346948E-2</v>
      </c>
      <c r="S840" s="80">
        <f t="shared" si="658"/>
        <v>1.5302061220389632E-2</v>
      </c>
      <c r="T840" s="80">
        <f t="shared" si="658"/>
        <v>1.2780612826979123E-2</v>
      </c>
      <c r="U840" s="80">
        <f t="shared" si="658"/>
        <v>7.7094529540351689E-3</v>
      </c>
      <c r="V840" s="80">
        <f t="shared" si="658"/>
        <v>5.6045453738836635E-3</v>
      </c>
      <c r="W840" s="80">
        <f t="shared" si="658"/>
        <v>2.6811752082649778E-3</v>
      </c>
      <c r="X840" s="80">
        <f t="shared" si="658"/>
        <v>2.054855393207804E-2</v>
      </c>
      <c r="Y840" s="80">
        <f t="shared" si="658"/>
        <v>1.0704897147969529E-2</v>
      </c>
      <c r="Z840" s="80">
        <f t="shared" si="658"/>
        <v>7.8014114347548583E-3</v>
      </c>
      <c r="AA840" s="80">
        <f t="shared" si="658"/>
        <v>0.47288282564334427</v>
      </c>
      <c r="AB840" s="80">
        <f t="shared" si="658"/>
        <v>0.33854043987396742</v>
      </c>
      <c r="AC840" s="80">
        <f t="shared" si="658"/>
        <v>0.54148525574789386</v>
      </c>
      <c r="AD840" s="80">
        <f t="shared" si="658"/>
        <v>0.5197628919060171</v>
      </c>
      <c r="AE840" s="80">
        <f t="shared" si="658"/>
        <v>0.411068723796854</v>
      </c>
      <c r="AF840" s="80">
        <f t="shared" si="658"/>
        <v>0.50462559159499742</v>
      </c>
      <c r="AG840" s="37"/>
    </row>
    <row r="841" spans="1:33" s="519" customFormat="1" x14ac:dyDescent="0.2">
      <c r="A841" s="518" t="s">
        <v>680</v>
      </c>
      <c r="B841" s="704" t="s">
        <v>700</v>
      </c>
      <c r="C841" s="80">
        <f t="shared" si="657"/>
        <v>1.0903284298737154E-2</v>
      </c>
      <c r="D841" s="80">
        <f t="shared" si="658"/>
        <v>2.0549579166863539E-2</v>
      </c>
      <c r="E841" s="80">
        <f t="shared" si="658"/>
        <v>9.2605501974265658E-3</v>
      </c>
      <c r="F841" s="80">
        <f t="shared" si="658"/>
        <v>8.9756728237694978E-4</v>
      </c>
      <c r="G841" s="80">
        <f t="shared" si="658"/>
        <v>1.0986834433181301E-3</v>
      </c>
      <c r="H841" s="80">
        <f t="shared" si="658"/>
        <v>4.95506042024506E-3</v>
      </c>
      <c r="I841" s="80">
        <f t="shared" si="658"/>
        <v>7.6018233458335568E-3</v>
      </c>
      <c r="J841" s="80">
        <f t="shared" si="658"/>
        <v>7.9586462657757987E-3</v>
      </c>
      <c r="K841" s="80">
        <f t="shared" si="658"/>
        <v>1.4276745399252472E-2</v>
      </c>
      <c r="L841" s="80">
        <f t="shared" si="658"/>
        <v>3.8835749848138583E-2</v>
      </c>
      <c r="M841" s="80">
        <f t="shared" si="658"/>
        <v>3.9106283262840602E-2</v>
      </c>
      <c r="N841" s="80">
        <f t="shared" si="658"/>
        <v>2.5375286578073177E-2</v>
      </c>
      <c r="O841" s="80">
        <f t="shared" si="658"/>
        <v>0.14480624499711101</v>
      </c>
      <c r="P841" s="80">
        <f t="shared" si="658"/>
        <v>2.7861781207851516E-2</v>
      </c>
      <c r="Q841" s="80">
        <f t="shared" si="658"/>
        <v>0.18048905547741795</v>
      </c>
      <c r="R841" s="80">
        <f t="shared" si="658"/>
        <v>0.41416369277236242</v>
      </c>
      <c r="S841" s="80">
        <f t="shared" si="658"/>
        <v>0.39317571386416206</v>
      </c>
      <c r="T841" s="80">
        <f t="shared" si="658"/>
        <v>0.39883554441190483</v>
      </c>
      <c r="U841" s="80">
        <f t="shared" si="658"/>
        <v>0.46076702347245457</v>
      </c>
      <c r="V841" s="80">
        <f t="shared" si="658"/>
        <v>0.47258895709871152</v>
      </c>
      <c r="W841" s="80">
        <f t="shared" si="658"/>
        <v>0.52128298718611221</v>
      </c>
      <c r="X841" s="80">
        <f t="shared" si="658"/>
        <v>0.46133061186248442</v>
      </c>
      <c r="Y841" s="80">
        <f t="shared" si="658"/>
        <v>0.46721294464451407</v>
      </c>
      <c r="Z841" s="80">
        <f t="shared" si="658"/>
        <v>0.48198226494044422</v>
      </c>
      <c r="AA841" s="80">
        <f t="shared" si="658"/>
        <v>7.8969082135084008E-6</v>
      </c>
      <c r="AB841" s="80">
        <f t="shared" si="658"/>
        <v>3.7323790040773033E-6</v>
      </c>
      <c r="AC841" s="80">
        <f t="shared" si="658"/>
        <v>2.7357894979923846E-5</v>
      </c>
      <c r="AD841" s="80">
        <f t="shared" si="658"/>
        <v>4.3662166089717051E-6</v>
      </c>
      <c r="AE841" s="80">
        <f t="shared" si="658"/>
        <v>4.2665153759420549E-6</v>
      </c>
      <c r="AF841" s="80">
        <f t="shared" si="658"/>
        <v>5.0313012326544954E-6</v>
      </c>
      <c r="AG841" s="37"/>
    </row>
    <row r="842" spans="1:33" s="519" customFormat="1" x14ac:dyDescent="0.2">
      <c r="A842" s="518" t="s">
        <v>682</v>
      </c>
      <c r="B842" s="704" t="s">
        <v>701</v>
      </c>
      <c r="C842" s="80">
        <f t="shared" si="657"/>
        <v>7.954053081400703E-3</v>
      </c>
      <c r="D842" s="80">
        <f t="shared" si="658"/>
        <v>1.4991120016251441E-2</v>
      </c>
      <c r="E842" s="80">
        <f t="shared" si="658"/>
        <v>6.7556624054862088E-3</v>
      </c>
      <c r="F842" s="80">
        <f t="shared" si="658"/>
        <v>6.5478415608971369E-4</v>
      </c>
      <c r="G842" s="80">
        <f t="shared" si="658"/>
        <v>8.0150037258229436E-4</v>
      </c>
      <c r="H842" s="80">
        <f t="shared" si="658"/>
        <v>3.6147652876245533E-3</v>
      </c>
      <c r="I842" s="80">
        <f t="shared" si="658"/>
        <v>5.5456048610228806E-3</v>
      </c>
      <c r="J842" s="80">
        <f t="shared" si="658"/>
        <v>5.8059106888925342E-3</v>
      </c>
      <c r="K842" s="80">
        <f t="shared" si="658"/>
        <v>1.0415026117263589E-2</v>
      </c>
      <c r="L842" s="80">
        <f t="shared" si="658"/>
        <v>2.8331061291676257E-2</v>
      </c>
      <c r="M842" s="80">
        <f t="shared" si="658"/>
        <v>2.8528418077198352E-2</v>
      </c>
      <c r="N842" s="80">
        <f t="shared" si="658"/>
        <v>1.8511521012171177E-2</v>
      </c>
      <c r="O842" s="80">
        <f t="shared" si="658"/>
        <v>0.10563757925295407</v>
      </c>
      <c r="P842" s="80">
        <f t="shared" si="658"/>
        <v>2.0325443288247702E-2</v>
      </c>
      <c r="Q842" s="80">
        <f t="shared" si="658"/>
        <v>0.13166854028061392</v>
      </c>
      <c r="R842" s="80">
        <f t="shared" si="658"/>
        <v>0.3021364853415639</v>
      </c>
      <c r="S842" s="80">
        <f t="shared" si="658"/>
        <v>0.28682554840428909</v>
      </c>
      <c r="T842" s="80">
        <f t="shared" si="658"/>
        <v>0.29095445042821355</v>
      </c>
      <c r="U842" s="80">
        <f t="shared" si="658"/>
        <v>0.33613407322446803</v>
      </c>
      <c r="V842" s="80">
        <f t="shared" si="658"/>
        <v>0.34475829002113878</v>
      </c>
      <c r="W842" s="80">
        <f t="shared" si="658"/>
        <v>0.38028106365984587</v>
      </c>
      <c r="X842" s="80">
        <f t="shared" si="658"/>
        <v>0.33654521649538854</v>
      </c>
      <c r="Y842" s="80">
        <f t="shared" si="658"/>
        <v>0.34083643608654846</v>
      </c>
      <c r="Z842" s="80">
        <f t="shared" si="658"/>
        <v>0.35161080043322918</v>
      </c>
      <c r="AA842" s="80">
        <f t="shared" si="658"/>
        <v>5.7608721728433793E-6</v>
      </c>
      <c r="AB842" s="80">
        <f t="shared" si="658"/>
        <v>2.7228071748780178E-6</v>
      </c>
      <c r="AC842" s="80">
        <f t="shared" si="658"/>
        <v>1.9957853331486898E-5</v>
      </c>
      <c r="AD842" s="80">
        <f t="shared" si="658"/>
        <v>3.1851979386318238E-6</v>
      </c>
      <c r="AE842" s="80">
        <f t="shared" si="658"/>
        <v>3.1124649090169961E-6</v>
      </c>
      <c r="AF842" s="80">
        <f t="shared" si="658"/>
        <v>3.6703837097676873E-6</v>
      </c>
      <c r="AG842" s="37"/>
    </row>
    <row r="843" spans="1:33" s="519" customFormat="1" x14ac:dyDescent="0.2">
      <c r="A843" s="518" t="s">
        <v>684</v>
      </c>
      <c r="B843" s="704" t="s">
        <v>702</v>
      </c>
      <c r="C843" s="80">
        <f t="shared" si="657"/>
        <v>0.90687295560969128</v>
      </c>
      <c r="D843" s="80">
        <f t="shared" si="658"/>
        <v>0.78836001406268263</v>
      </c>
      <c r="E843" s="80">
        <f t="shared" si="658"/>
        <v>0.93346983122715654</v>
      </c>
      <c r="F843" s="80">
        <f t="shared" si="658"/>
        <v>0.9786450075296711</v>
      </c>
      <c r="G843" s="80">
        <f t="shared" si="658"/>
        <v>0.95942314085532721</v>
      </c>
      <c r="H843" s="80">
        <f t="shared" si="658"/>
        <v>0.94894809314657746</v>
      </c>
      <c r="I843" s="80">
        <f t="shared" si="658"/>
        <v>0.92737479913768828</v>
      </c>
      <c r="J843" s="80">
        <f t="shared" si="658"/>
        <v>0.94623820690165439</v>
      </c>
      <c r="K843" s="80">
        <f t="shared" si="658"/>
        <v>9.9999999999999995E-7</v>
      </c>
      <c r="L843" s="80">
        <f t="shared" si="658"/>
        <v>9.9999999999999995E-7</v>
      </c>
      <c r="M843" s="80">
        <f t="shared" si="658"/>
        <v>9.9999999999999995E-7</v>
      </c>
      <c r="N843" s="80">
        <f t="shared" si="658"/>
        <v>9.9999999999999995E-7</v>
      </c>
      <c r="O843" s="80">
        <f t="shared" si="658"/>
        <v>9.9999999999999995E-7</v>
      </c>
      <c r="P843" s="80">
        <f t="shared" si="658"/>
        <v>9.9999999999999995E-7</v>
      </c>
      <c r="Q843" s="80">
        <f t="shared" si="658"/>
        <v>9.9999999999999995E-7</v>
      </c>
      <c r="R843" s="80">
        <f t="shared" si="658"/>
        <v>9.9999999999999995E-7</v>
      </c>
      <c r="S843" s="80">
        <f t="shared" si="658"/>
        <v>1.1998231257406635E-4</v>
      </c>
      <c r="T843" s="80">
        <f t="shared" si="658"/>
        <v>1.1605100251787461E-2</v>
      </c>
      <c r="U843" s="80">
        <f t="shared" si="658"/>
        <v>2.4622350727552401E-2</v>
      </c>
      <c r="V843" s="80">
        <f t="shared" si="658"/>
        <v>9.9999999999999995E-7</v>
      </c>
      <c r="W843" s="80">
        <f t="shared" si="658"/>
        <v>9.9999999999999995E-7</v>
      </c>
      <c r="X843" s="80">
        <f t="shared" si="658"/>
        <v>9.9999999999999995E-7</v>
      </c>
      <c r="Y843" s="80">
        <f t="shared" si="658"/>
        <v>5.2613455101962071E-3</v>
      </c>
      <c r="Z843" s="80">
        <f t="shared" si="658"/>
        <v>1.6959712708869738E-4</v>
      </c>
      <c r="AA843" s="80">
        <f t="shared" si="658"/>
        <v>1.8544673651079879E-5</v>
      </c>
      <c r="AB843" s="80">
        <f t="shared" si="658"/>
        <v>5.9313447242331953E-6</v>
      </c>
      <c r="AC843" s="80">
        <f t="shared" si="658"/>
        <v>3.6450117230252442E-6</v>
      </c>
      <c r="AD843" s="80">
        <f t="shared" si="658"/>
        <v>9.2117125539566087E-5</v>
      </c>
      <c r="AE843" s="80">
        <f t="shared" si="658"/>
        <v>7.1721369390553695E-5</v>
      </c>
      <c r="AF843" s="80">
        <f t="shared" si="658"/>
        <v>2.4402794215962027E-4</v>
      </c>
      <c r="AG843" s="37"/>
    </row>
    <row r="844" spans="1:33" s="519" customFormat="1" x14ac:dyDescent="0.2">
      <c r="A844" s="518" t="s">
        <v>686</v>
      </c>
      <c r="B844" s="704" t="s">
        <v>705</v>
      </c>
      <c r="C844" s="80">
        <f t="shared" si="657"/>
        <v>1.0826556889988149E-3</v>
      </c>
      <c r="D844" s="80">
        <f t="shared" si="658"/>
        <v>1.1490905476237408E-3</v>
      </c>
      <c r="E844" s="80">
        <f t="shared" si="658"/>
        <v>8.8216150378227383E-4</v>
      </c>
      <c r="F844" s="80">
        <f t="shared" si="658"/>
        <v>6.0374613343044209E-5</v>
      </c>
      <c r="G844" s="80">
        <f t="shared" si="658"/>
        <v>3.2574160111492433E-4</v>
      </c>
      <c r="H844" s="80">
        <f t="shared" si="658"/>
        <v>4.5600658616806733E-3</v>
      </c>
      <c r="I844" s="80">
        <f t="shared" si="658"/>
        <v>3.3619647504245939E-4</v>
      </c>
      <c r="J844" s="80">
        <f t="shared" si="658"/>
        <v>7.393562854664402E-3</v>
      </c>
      <c r="K844" s="80">
        <f t="shared" si="658"/>
        <v>8.2514171583618467E-3</v>
      </c>
      <c r="L844" s="80">
        <f t="shared" si="658"/>
        <v>4.072166628109916E-3</v>
      </c>
      <c r="M844" s="80">
        <f t="shared" si="658"/>
        <v>1.4701839198489107E-3</v>
      </c>
      <c r="N844" s="80">
        <f t="shared" si="658"/>
        <v>4.5823721448425784E-3</v>
      </c>
      <c r="O844" s="80">
        <f t="shared" si="658"/>
        <v>5.0370272350233614E-3</v>
      </c>
      <c r="P844" s="80">
        <f t="shared" si="658"/>
        <v>9.9809047524217126E-2</v>
      </c>
      <c r="Q844" s="80">
        <f t="shared" si="658"/>
        <v>1.2424841583733928E-2</v>
      </c>
      <c r="R844" s="80">
        <f t="shared" si="658"/>
        <v>4.2655349174489958E-3</v>
      </c>
      <c r="S844" s="80">
        <f t="shared" si="658"/>
        <v>2.8109130486289203E-3</v>
      </c>
      <c r="T844" s="80">
        <f t="shared" si="658"/>
        <v>2.6014481814055452E-3</v>
      </c>
      <c r="U844" s="80">
        <f t="shared" si="658"/>
        <v>5.8377510907306291E-3</v>
      </c>
      <c r="V844" s="80">
        <f t="shared" si="658"/>
        <v>2.9026371950154851E-3</v>
      </c>
      <c r="W844" s="80">
        <f t="shared" si="658"/>
        <v>1.1559436534617862E-3</v>
      </c>
      <c r="X844" s="80">
        <f t="shared" si="658"/>
        <v>2.2028499539087283E-3</v>
      </c>
      <c r="Y844" s="80">
        <f t="shared" si="658"/>
        <v>8.4951564475381589E-4</v>
      </c>
      <c r="Z844" s="80">
        <f t="shared" si="658"/>
        <v>4.1684252571602722E-3</v>
      </c>
      <c r="AA844" s="80">
        <f t="shared" si="658"/>
        <v>3.5762790830509233E-3</v>
      </c>
      <c r="AB844" s="80">
        <f t="shared" si="658"/>
        <v>7.8764931966543716E-3</v>
      </c>
      <c r="AC844" s="80">
        <f t="shared" si="658"/>
        <v>1.326375254539448E-2</v>
      </c>
      <c r="AD844" s="80">
        <f t="shared" si="658"/>
        <v>5.4204692007541683E-3</v>
      </c>
      <c r="AE844" s="80">
        <f t="shared" si="658"/>
        <v>1.6105112720344338E-2</v>
      </c>
      <c r="AF844" s="80">
        <f t="shared" si="658"/>
        <v>8.4286119449724223E-3</v>
      </c>
      <c r="AG844" s="37"/>
    </row>
    <row r="845" spans="1:33" s="519" customFormat="1" x14ac:dyDescent="0.2">
      <c r="A845" s="518" t="s">
        <v>688</v>
      </c>
      <c r="B845" s="704" t="s">
        <v>703</v>
      </c>
      <c r="C845" s="80">
        <f t="shared" si="657"/>
        <v>4.0381248431869453E-3</v>
      </c>
      <c r="D845" s="80">
        <f t="shared" si="658"/>
        <v>4.2878475135467502E-5</v>
      </c>
      <c r="E845" s="80">
        <f t="shared" si="658"/>
        <v>6.321758923107737E-5</v>
      </c>
      <c r="F845" s="80">
        <f t="shared" si="658"/>
        <v>1.1697444999197544E-5</v>
      </c>
      <c r="G845" s="80">
        <f t="shared" si="658"/>
        <v>3.7469933941571482E-5</v>
      </c>
      <c r="H845" s="80">
        <f t="shared" si="658"/>
        <v>4.2933541348552056E-5</v>
      </c>
      <c r="I845" s="80">
        <f t="shared" si="658"/>
        <v>1.1133781725958694E-4</v>
      </c>
      <c r="J845" s="80">
        <f t="shared" si="658"/>
        <v>1.2790966602328554E-4</v>
      </c>
      <c r="K845" s="80">
        <f t="shared" si="658"/>
        <v>7.0938866335088141E-2</v>
      </c>
      <c r="L845" s="80">
        <f t="shared" si="658"/>
        <v>6.0190347004389473E-2</v>
      </c>
      <c r="M845" s="80">
        <f t="shared" si="658"/>
        <v>5.146040131785902E-2</v>
      </c>
      <c r="N845" s="80">
        <f t="shared" si="658"/>
        <v>6.454562254533186E-2</v>
      </c>
      <c r="O845" s="80">
        <f t="shared" si="658"/>
        <v>4.7765568510367486E-2</v>
      </c>
      <c r="P845" s="80">
        <f t="shared" si="658"/>
        <v>0.21676306232445705</v>
      </c>
      <c r="Q845" s="80">
        <f t="shared" si="658"/>
        <v>1.7084588829676114E-2</v>
      </c>
      <c r="R845" s="80">
        <f t="shared" si="658"/>
        <v>1.2219273812561694E-2</v>
      </c>
      <c r="S845" s="80">
        <f t="shared" si="658"/>
        <v>8.6746807513300456E-3</v>
      </c>
      <c r="T845" s="80">
        <f t="shared" si="658"/>
        <v>6.9922661240691816E-3</v>
      </c>
      <c r="U845" s="80">
        <f t="shared" si="658"/>
        <v>2.9172248586112081E-3</v>
      </c>
      <c r="V845" s="80">
        <f t="shared" si="658"/>
        <v>1.6606391199304657E-3</v>
      </c>
      <c r="W845" s="80">
        <f t="shared" si="658"/>
        <v>7.7039034134493856E-4</v>
      </c>
      <c r="X845" s="80">
        <f t="shared" si="658"/>
        <v>1.2420322599443161E-2</v>
      </c>
      <c r="Y845" s="80">
        <f t="shared" si="658"/>
        <v>3.9134462604537004E-3</v>
      </c>
      <c r="Z845" s="80">
        <f t="shared" si="658"/>
        <v>3.5932031980389894E-3</v>
      </c>
      <c r="AA845" s="80">
        <f t="shared" si="658"/>
        <v>0.28763776931603435</v>
      </c>
      <c r="AB845" s="80">
        <f t="shared" si="658"/>
        <v>0.21243162742480556</v>
      </c>
      <c r="AC845" s="80">
        <f t="shared" si="658"/>
        <v>0.3330508874729905</v>
      </c>
      <c r="AD845" s="80">
        <f t="shared" si="658"/>
        <v>0.31483622809732303</v>
      </c>
      <c r="AE845" s="80">
        <f t="shared" si="658"/>
        <v>0.28759670752524435</v>
      </c>
      <c r="AF845" s="80">
        <f t="shared" si="658"/>
        <v>0.31284004041398733</v>
      </c>
      <c r="AG845" s="37"/>
    </row>
    <row r="846" spans="1:33" s="519" customFormat="1" x14ac:dyDescent="0.2">
      <c r="A846" s="518" t="s">
        <v>690</v>
      </c>
      <c r="B846" s="704" t="s">
        <v>706</v>
      </c>
      <c r="C846" s="80">
        <f t="shared" si="657"/>
        <v>5.6968840349704269E-4</v>
      </c>
      <c r="D846" s="80">
        <f t="shared" si="658"/>
        <v>1.2548678777692798E-3</v>
      </c>
      <c r="E846" s="80">
        <f t="shared" si="658"/>
        <v>5.6931090177159344E-4</v>
      </c>
      <c r="F846" s="80">
        <f t="shared" si="658"/>
        <v>4.1086843465748702E-5</v>
      </c>
      <c r="G846" s="80">
        <f t="shared" si="658"/>
        <v>7.1856623126690896E-5</v>
      </c>
      <c r="H846" s="80">
        <f t="shared" si="658"/>
        <v>3.4382186451218408E-4</v>
      </c>
      <c r="I846" s="80">
        <f t="shared" si="658"/>
        <v>4.3822636061078375E-4</v>
      </c>
      <c r="J846" s="80">
        <f t="shared" si="658"/>
        <v>4.87639615883514E-4</v>
      </c>
      <c r="K846" s="80">
        <f t="shared" si="658"/>
        <v>4.8548219281514788E-4</v>
      </c>
      <c r="L846" s="80">
        <f t="shared" si="658"/>
        <v>8.9547385308025621E-4</v>
      </c>
      <c r="M846" s="80">
        <f t="shared" si="658"/>
        <v>9.390049630386381E-4</v>
      </c>
      <c r="N846" s="80">
        <f t="shared" si="658"/>
        <v>4.4194116501104639E-4</v>
      </c>
      <c r="O846" s="80">
        <f t="shared" si="658"/>
        <v>4.6930680128170078E-3</v>
      </c>
      <c r="P846" s="80">
        <f t="shared" si="658"/>
        <v>1.0224902433682826E-3</v>
      </c>
      <c r="Q846" s="80">
        <f t="shared" si="658"/>
        <v>1.0885408292232085E-2</v>
      </c>
      <c r="R846" s="80">
        <f t="shared" si="658"/>
        <v>2.7445363417892515E-3</v>
      </c>
      <c r="S846" s="80">
        <f t="shared" si="658"/>
        <v>2.424724657663998E-3</v>
      </c>
      <c r="T846" s="80">
        <f t="shared" si="658"/>
        <v>2.4304581568308061E-3</v>
      </c>
      <c r="U846" s="80">
        <f t="shared" si="658"/>
        <v>2.8040931936835867E-3</v>
      </c>
      <c r="V846" s="80">
        <f t="shared" si="658"/>
        <v>6.2342702005990626E-3</v>
      </c>
      <c r="W846" s="80">
        <f t="shared" si="658"/>
        <v>3.8679017944884754E-3</v>
      </c>
      <c r="X846" s="80">
        <f t="shared" si="658"/>
        <v>3.84579114929563E-3</v>
      </c>
      <c r="Y846" s="80">
        <f t="shared" si="658"/>
        <v>2.8680310858153848E-3</v>
      </c>
      <c r="Z846" s="80">
        <f t="shared" si="658"/>
        <v>2.9375192559673866E-3</v>
      </c>
      <c r="AA846" s="80">
        <f t="shared" si="658"/>
        <v>6.0744309141297955E-4</v>
      </c>
      <c r="AB846" s="80">
        <f t="shared" si="658"/>
        <v>2.8937509744654831E-4</v>
      </c>
      <c r="AC846" s="80">
        <f t="shared" si="658"/>
        <v>2.0982402248027748E-3</v>
      </c>
      <c r="AD846" s="80">
        <f t="shared" si="658"/>
        <v>3.3949228036810102E-4</v>
      </c>
      <c r="AE846" s="80">
        <f t="shared" si="658"/>
        <v>3.3280604666981119E-4</v>
      </c>
      <c r="AF846" s="80">
        <f t="shared" si="658"/>
        <v>3.8938671946523227E-4</v>
      </c>
      <c r="AG846" s="37"/>
    </row>
    <row r="847" spans="1:33" x14ac:dyDescent="0.2">
      <c r="A847" s="5" t="s">
        <v>692</v>
      </c>
      <c r="B847" s="704" t="s">
        <v>709</v>
      </c>
      <c r="C847" s="80">
        <f t="shared" si="657"/>
        <v>8.647439303365551E-6</v>
      </c>
      <c r="D847" s="80">
        <f t="shared" si="658"/>
        <v>8.6722606988566158E-6</v>
      </c>
      <c r="E847" s="80">
        <f t="shared" si="658"/>
        <v>7.7770320637744602E-6</v>
      </c>
      <c r="F847" s="80">
        <f t="shared" si="658"/>
        <v>1.0105031069734614E-5</v>
      </c>
      <c r="G847" s="80">
        <f t="shared" si="658"/>
        <v>7.1663168161560933E-6</v>
      </c>
      <c r="H847" s="80">
        <f t="shared" si="658"/>
        <v>6.7717383868561445E-6</v>
      </c>
      <c r="I847" s="80">
        <f t="shared" si="658"/>
        <v>8.3177133351802806E-6</v>
      </c>
      <c r="J847" s="80">
        <f t="shared" si="658"/>
        <v>7.6070095596391539E-6</v>
      </c>
      <c r="K847" s="80">
        <f t="shared" si="658"/>
        <v>4.1982609638481426E-6</v>
      </c>
      <c r="L847" s="80">
        <f t="shared" si="658"/>
        <v>7.8926106905072813E-6</v>
      </c>
      <c r="M847" s="80">
        <f t="shared" ref="D847:AF849" si="660">IF(M835&gt;0,M835/M$825,0.000001)</f>
        <v>6.6981455569890363E-6</v>
      </c>
      <c r="N847" s="80">
        <f t="shared" si="660"/>
        <v>6.0753659536969005E-6</v>
      </c>
      <c r="O847" s="80">
        <f t="shared" si="660"/>
        <v>1.5209922719441083E-5</v>
      </c>
      <c r="P847" s="80">
        <f t="shared" si="660"/>
        <v>5.5603329138785758E-6</v>
      </c>
      <c r="Q847" s="80">
        <f t="shared" si="660"/>
        <v>2.3066108446781498E-5</v>
      </c>
      <c r="R847" s="80">
        <f t="shared" si="660"/>
        <v>1.0910805502930095E-4</v>
      </c>
      <c r="S847" s="80">
        <f t="shared" si="660"/>
        <v>1.0589106827934226E-4</v>
      </c>
      <c r="T847" s="80">
        <f t="shared" si="660"/>
        <v>1.1268903462802705E-4</v>
      </c>
      <c r="U847" s="80">
        <f t="shared" si="660"/>
        <v>1.0808717009752795E-4</v>
      </c>
      <c r="V847" s="80">
        <f t="shared" si="660"/>
        <v>1.0747336133179503E-4</v>
      </c>
      <c r="W847" s="80">
        <f t="shared" si="660"/>
        <v>1.0761798839818977E-4</v>
      </c>
      <c r="X847" s="80">
        <f t="shared" si="660"/>
        <v>9.8147577146681935E-5</v>
      </c>
      <c r="Y847" s="80">
        <f t="shared" si="660"/>
        <v>1.0522916169211786E-4</v>
      </c>
      <c r="Z847" s="80">
        <f t="shared" si="660"/>
        <v>1.0404065473189973E-4</v>
      </c>
      <c r="AA847" s="80">
        <f t="shared" si="660"/>
        <v>1.1538771083519242E-10</v>
      </c>
      <c r="AB847" s="80">
        <f t="shared" si="660"/>
        <v>6.0953165154874414E-11</v>
      </c>
      <c r="AC847" s="80">
        <f t="shared" si="660"/>
        <v>1.2361729343769664E-10</v>
      </c>
      <c r="AD847" s="80">
        <f t="shared" si="660"/>
        <v>1.5577527443331955E-10</v>
      </c>
      <c r="AE847" s="80">
        <f t="shared" si="660"/>
        <v>1.3835071183074684E-10</v>
      </c>
      <c r="AF847" s="80">
        <f t="shared" si="660"/>
        <v>1.2287421459824897E-10</v>
      </c>
      <c r="AG847" s="690"/>
    </row>
    <row r="848" spans="1:33" x14ac:dyDescent="0.2">
      <c r="A848" s="5" t="s">
        <v>694</v>
      </c>
      <c r="B848" s="704" t="s">
        <v>710</v>
      </c>
      <c r="C848" s="80">
        <f t="shared" si="657"/>
        <v>3.4725486031254096E-6</v>
      </c>
      <c r="D848" s="80">
        <f t="shared" si="660"/>
        <v>1.9299018499643978E-7</v>
      </c>
      <c r="E848" s="80">
        <f t="shared" si="660"/>
        <v>4.8629179843088005E-7</v>
      </c>
      <c r="F848" s="80">
        <f t="shared" si="660"/>
        <v>2.9538924291569056E-8</v>
      </c>
      <c r="G848" s="80">
        <f t="shared" si="660"/>
        <v>2.9505475463801843E-7</v>
      </c>
      <c r="H848" s="80">
        <f t="shared" si="660"/>
        <v>6.81261835280042E-7</v>
      </c>
      <c r="I848" s="80">
        <f t="shared" si="660"/>
        <v>8.6813857063081968E-7</v>
      </c>
      <c r="J848" s="80">
        <f t="shared" si="660"/>
        <v>2.0905824786519923E-6</v>
      </c>
      <c r="K848" s="80">
        <f t="shared" si="660"/>
        <v>5.692095011912638E-2</v>
      </c>
      <c r="L848" s="80">
        <f t="shared" si="660"/>
        <v>5.1582729052108242E-2</v>
      </c>
      <c r="M848" s="80">
        <f t="shared" si="660"/>
        <v>4.5695564948595342E-2</v>
      </c>
      <c r="N848" s="80">
        <f t="shared" si="660"/>
        <v>5.8042062745536395E-2</v>
      </c>
      <c r="O848" s="80">
        <f t="shared" si="660"/>
        <v>3.5786093752690096E-2</v>
      </c>
      <c r="P848" s="80">
        <f t="shared" si="660"/>
        <v>3.7150563362768528E-2</v>
      </c>
      <c r="Q848" s="80">
        <f t="shared" si="660"/>
        <v>1.1126640448814127E-2</v>
      </c>
      <c r="R848" s="80">
        <f t="shared" si="660"/>
        <v>3.5899150112750695E-2</v>
      </c>
      <c r="S848" s="80">
        <f t="shared" si="660"/>
        <v>3.7736632402501968E-2</v>
      </c>
      <c r="T848" s="80">
        <f t="shared" si="660"/>
        <v>2.7952932686363893E-2</v>
      </c>
      <c r="U848" s="80">
        <f t="shared" si="660"/>
        <v>1.7134796912664861E-2</v>
      </c>
      <c r="V848" s="80">
        <f t="shared" si="660"/>
        <v>5.3050455278463946E-3</v>
      </c>
      <c r="W848" s="80">
        <f t="shared" si="660"/>
        <v>1.9058040179735147E-3</v>
      </c>
      <c r="X848" s="80">
        <f t="shared" si="660"/>
        <v>2.5181417242890514E-2</v>
      </c>
      <c r="Y848" s="80">
        <f t="shared" si="660"/>
        <v>1.0195647841448961E-2</v>
      </c>
      <c r="Z848" s="80">
        <f t="shared" si="660"/>
        <v>3.9881448348918717E-3</v>
      </c>
      <c r="AA848" s="80">
        <f t="shared" si="660"/>
        <v>7.3320730667467976E-6</v>
      </c>
      <c r="AB848" s="80">
        <f t="shared" si="660"/>
        <v>3.4772572164714894E-6</v>
      </c>
      <c r="AC848" s="80">
        <f t="shared" si="660"/>
        <v>7.4179378797819652E-6</v>
      </c>
      <c r="AD848" s="80">
        <f t="shared" si="660"/>
        <v>1.0100391055123099E-5</v>
      </c>
      <c r="AE848" s="80">
        <f t="shared" si="660"/>
        <v>8.5826206404553464E-6</v>
      </c>
      <c r="AF848" s="80">
        <f t="shared" si="660"/>
        <v>7.3219393463191056E-6</v>
      </c>
      <c r="AG848" s="690"/>
    </row>
    <row r="849" spans="1:33" x14ac:dyDescent="0.2">
      <c r="A849" s="198" t="s">
        <v>696</v>
      </c>
      <c r="B849" s="704" t="s">
        <v>711</v>
      </c>
      <c r="C849" s="80">
        <f t="shared" si="657"/>
        <v>3.12529374281287E-7</v>
      </c>
      <c r="D849" s="80">
        <f t="shared" si="660"/>
        <v>1.7369116649679586E-8</v>
      </c>
      <c r="E849" s="80">
        <f t="shared" si="660"/>
        <v>4.37662618587792E-8</v>
      </c>
      <c r="F849" s="80">
        <f t="shared" si="660"/>
        <v>2.6585031862412154E-9</v>
      </c>
      <c r="G849" s="80">
        <f t="shared" si="660"/>
        <v>2.6554927917421662E-8</v>
      </c>
      <c r="H849" s="80">
        <f t="shared" si="660"/>
        <v>6.1313565175203762E-8</v>
      </c>
      <c r="I849" s="80">
        <f t="shared" si="660"/>
        <v>7.8132471356773761E-8</v>
      </c>
      <c r="J849" s="80">
        <f t="shared" si="660"/>
        <v>1.8815242307867936E-7</v>
      </c>
      <c r="K849" s="80">
        <f t="shared" si="660"/>
        <v>5.1228855107213755E-3</v>
      </c>
      <c r="L849" s="80">
        <f t="shared" si="660"/>
        <v>4.6424456146897438E-3</v>
      </c>
      <c r="M849" s="80">
        <f t="shared" si="660"/>
        <v>4.112600845373582E-3</v>
      </c>
      <c r="N849" s="80">
        <f t="shared" si="660"/>
        <v>5.2237856470982759E-3</v>
      </c>
      <c r="O849" s="80">
        <f t="shared" si="660"/>
        <v>3.2207484377421093E-3</v>
      </c>
      <c r="P849" s="80">
        <f t="shared" si="660"/>
        <v>3.3435507026491683E-3</v>
      </c>
      <c r="Q849" s="80">
        <f t="shared" si="660"/>
        <v>1.0013976403932716E-3</v>
      </c>
      <c r="R849" s="80">
        <f t="shared" si="660"/>
        <v>3.2309235101475632E-3</v>
      </c>
      <c r="S849" s="80">
        <f t="shared" si="660"/>
        <v>3.3962969162251782E-3</v>
      </c>
      <c r="T849" s="80">
        <f t="shared" si="660"/>
        <v>2.5157639417727512E-3</v>
      </c>
      <c r="U849" s="80">
        <f t="shared" si="660"/>
        <v>1.5421317221398381E-3</v>
      </c>
      <c r="V849" s="80">
        <f t="shared" si="660"/>
        <v>4.7745409750617554E-4</v>
      </c>
      <c r="W849" s="80">
        <f t="shared" si="660"/>
        <v>1.7152236161761629E-4</v>
      </c>
      <c r="X849" s="80">
        <f t="shared" si="660"/>
        <v>2.266327551860146E-3</v>
      </c>
      <c r="Y849" s="80">
        <f t="shared" si="660"/>
        <v>9.1760830573040669E-4</v>
      </c>
      <c r="Z849" s="80">
        <f t="shared" si="660"/>
        <v>3.5893303514026849E-4</v>
      </c>
      <c r="AA849" s="80">
        <f t="shared" si="660"/>
        <v>6.5988657600721189E-7</v>
      </c>
      <c r="AB849" s="80">
        <f t="shared" si="660"/>
        <v>3.1295314948243402E-7</v>
      </c>
      <c r="AC849" s="80">
        <f t="shared" si="660"/>
        <v>6.6761440918037676E-7</v>
      </c>
      <c r="AD849" s="80">
        <f t="shared" si="660"/>
        <v>9.0903519496107903E-7</v>
      </c>
      <c r="AE849" s="80">
        <f t="shared" si="660"/>
        <v>7.7243585764098081E-7</v>
      </c>
      <c r="AF849" s="80">
        <f t="shared" si="660"/>
        <v>6.589745411687199E-7</v>
      </c>
      <c r="AG849" s="28"/>
    </row>
    <row r="851" spans="1:33" ht="18" x14ac:dyDescent="0.2">
      <c r="A851" s="1" t="s">
        <v>617</v>
      </c>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c r="AA851" s="28"/>
      <c r="AB851" s="28"/>
      <c r="AC851" s="28"/>
      <c r="AD851" s="28"/>
      <c r="AE851" s="28"/>
      <c r="AF851" s="28"/>
    </row>
    <row r="852" spans="1:33" s="703" customFormat="1" x14ac:dyDescent="0.2">
      <c r="A852" s="701" t="s">
        <v>619</v>
      </c>
      <c r="B852" s="701"/>
      <c r="C852" s="702">
        <f t="shared" ref="C852:AF852" si="661">SUM(C853+C854+C855+C861+C862+C863+C856+C857+C858+C859+C860)</f>
        <v>1.9049081089799001E-4</v>
      </c>
      <c r="D852" s="702">
        <f t="shared" si="661"/>
        <v>5.7409504951785193</v>
      </c>
      <c r="E852" s="702">
        <f t="shared" si="661"/>
        <v>4.8694251949379853E-2</v>
      </c>
      <c r="F852" s="702">
        <f t="shared" si="661"/>
        <v>6.7926180306342329E-2</v>
      </c>
      <c r="G852" s="702">
        <f t="shared" si="661"/>
        <v>8.2697955466756193E-2</v>
      </c>
      <c r="H852" s="702">
        <f t="shared" si="661"/>
        <v>6.5819884654323133E-2</v>
      </c>
      <c r="I852" s="702">
        <f t="shared" si="661"/>
        <v>1.8431799259678187E-2</v>
      </c>
      <c r="J852" s="702">
        <f t="shared" si="661"/>
        <v>1.1932105082177262E-2</v>
      </c>
      <c r="K852" s="702">
        <f t="shared" si="661"/>
        <v>6.261857165044348E-7</v>
      </c>
      <c r="L852" s="702">
        <f t="shared" si="661"/>
        <v>1.6922416221251568E-6</v>
      </c>
      <c r="M852" s="702">
        <f t="shared" si="661"/>
        <v>1.7075077053258244E-6</v>
      </c>
      <c r="N852" s="702">
        <f t="shared" si="661"/>
        <v>1.0885581387569646E-6</v>
      </c>
      <c r="O852" s="702">
        <f t="shared" si="661"/>
        <v>6.455577722003804E-6</v>
      </c>
      <c r="P852" s="702">
        <f t="shared" si="661"/>
        <v>1.7277559768577453E-6</v>
      </c>
      <c r="Q852" s="702">
        <f t="shared" si="661"/>
        <v>3.3681041112173925E-5</v>
      </c>
      <c r="R852" s="702">
        <f t="shared" si="661"/>
        <v>1.0773047136976733E-4</v>
      </c>
      <c r="S852" s="702">
        <f t="shared" si="661"/>
        <v>1.2754379775667784E-4</v>
      </c>
      <c r="T852" s="702">
        <f t="shared" si="661"/>
        <v>1.838149867139411E-4</v>
      </c>
      <c r="U852" s="702">
        <f t="shared" si="661"/>
        <v>5.9367617781845984E-4</v>
      </c>
      <c r="V852" s="702">
        <f t="shared" si="661"/>
        <v>1.7458847473044816E-3</v>
      </c>
      <c r="W852" s="702">
        <f t="shared" si="661"/>
        <v>6.042351463478533E-3</v>
      </c>
      <c r="X852" s="702">
        <f t="shared" si="661"/>
        <v>7.8959230762383622E-5</v>
      </c>
      <c r="Y852" s="702">
        <f t="shared" si="661"/>
        <v>2.6957152201373028E-4</v>
      </c>
      <c r="Z852" s="702">
        <f t="shared" si="661"/>
        <v>4.2787532580774589E-4</v>
      </c>
      <c r="AA852" s="702">
        <f t="shared" si="661"/>
        <v>4.0222079353736764E-8</v>
      </c>
      <c r="AB852" s="702">
        <f t="shared" si="661"/>
        <v>4.0111317279362874E-8</v>
      </c>
      <c r="AC852" s="702">
        <f t="shared" si="661"/>
        <v>4.0306096312787352E-8</v>
      </c>
      <c r="AD852" s="702">
        <f t="shared" si="661"/>
        <v>4.0402416443838019E-8</v>
      </c>
      <c r="AE852" s="702">
        <f t="shared" si="661"/>
        <v>4.0387108984010858E-8</v>
      </c>
      <c r="AF852" s="702">
        <f t="shared" si="661"/>
        <v>4.0766030347409477E-8</v>
      </c>
    </row>
    <row r="853" spans="1:33" s="694" customFormat="1" x14ac:dyDescent="0.2">
      <c r="A853" s="691" t="s">
        <v>653</v>
      </c>
      <c r="C853" s="693">
        <f t="shared" ref="C853:AF853" si="662">C447^2/C$133^2+C468^2/C$136^2-2*C499/C$517</f>
        <v>7.8909176789402426E-11</v>
      </c>
      <c r="D853" s="693">
        <f t="shared" si="662"/>
        <v>3.749194301634664E-6</v>
      </c>
      <c r="E853" s="693">
        <f t="shared" si="662"/>
        <v>2.3903573786999295E-8</v>
      </c>
      <c r="F853" s="693">
        <f t="shared" si="662"/>
        <v>6.0112319902361134E-9</v>
      </c>
      <c r="G853" s="693">
        <f t="shared" si="662"/>
        <v>2.7165063967437287E-8</v>
      </c>
      <c r="H853" s="693">
        <f t="shared" si="662"/>
        <v>2.8073327697695584E-8</v>
      </c>
      <c r="I853" s="693">
        <f t="shared" si="662"/>
        <v>1.2177127429370849E-8</v>
      </c>
      <c r="J853" s="693">
        <f t="shared" si="662"/>
        <v>4.7931165240998883E-9</v>
      </c>
      <c r="K853" s="693">
        <f t="shared" si="662"/>
        <v>5.9269717390005633E-12</v>
      </c>
      <c r="L853" s="693">
        <f t="shared" si="662"/>
        <v>9.328596418138351E-12</v>
      </c>
      <c r="M853" s="693">
        <f t="shared" si="662"/>
        <v>2.7019340231873338E-11</v>
      </c>
      <c r="N853" s="693">
        <f t="shared" si="662"/>
        <v>7.2585938430889418E-12</v>
      </c>
      <c r="O853" s="693">
        <f t="shared" si="662"/>
        <v>2.9081232533638051E-11</v>
      </c>
      <c r="P853" s="693">
        <f t="shared" si="662"/>
        <v>2.0797867538435809E-11</v>
      </c>
      <c r="Q853" s="693">
        <f t="shared" si="662"/>
        <v>9.4681927638416832E-9</v>
      </c>
      <c r="R853" s="693">
        <f t="shared" si="662"/>
        <v>1.2562987434782631E-9</v>
      </c>
      <c r="S853" s="693">
        <f t="shared" si="662"/>
        <v>3.1372926603345084E-9</v>
      </c>
      <c r="T853" s="693">
        <f t="shared" si="662"/>
        <v>5.0818938140727655E-9</v>
      </c>
      <c r="U853" s="693">
        <f t="shared" si="662"/>
        <v>2.0621984702377738E-8</v>
      </c>
      <c r="V853" s="693">
        <f t="shared" si="662"/>
        <v>1.8485879551112607E-7</v>
      </c>
      <c r="W853" s="693">
        <f t="shared" si="662"/>
        <v>1.8679246171054997E-7</v>
      </c>
      <c r="X853" s="693">
        <f t="shared" si="662"/>
        <v>1.2282068718252532E-9</v>
      </c>
      <c r="Y853" s="693">
        <f t="shared" si="662"/>
        <v>5.0295131112801641E-9</v>
      </c>
      <c r="Z853" s="693">
        <f t="shared" si="662"/>
        <v>3.0417802912561082E-8</v>
      </c>
      <c r="AA853" s="693">
        <f t="shared" si="662"/>
        <v>9.1280168071169754E-17</v>
      </c>
      <c r="AB853" s="693">
        <f t="shared" si="662"/>
        <v>1.7464871754273932E-16</v>
      </c>
      <c r="AC853" s="693">
        <f t="shared" si="662"/>
        <v>1.2503496372356811E-16</v>
      </c>
      <c r="AD853" s="693">
        <f t="shared" si="662"/>
        <v>3.0496812460960245E-17</v>
      </c>
      <c r="AE853" s="693">
        <f t="shared" si="662"/>
        <v>3.7826367224564017E-17</v>
      </c>
      <c r="AF853" s="693">
        <f t="shared" si="662"/>
        <v>5.4308738331793595E-17</v>
      </c>
    </row>
    <row r="854" spans="1:33" s="694" customFormat="1" x14ac:dyDescent="0.2">
      <c r="A854" s="691" t="s">
        <v>655</v>
      </c>
      <c r="C854" s="693">
        <f t="shared" ref="C854:AF854" si="663">C470^2/C$136^2</f>
        <v>4.7849841833508604E-6</v>
      </c>
      <c r="D854" s="693">
        <f t="shared" si="663"/>
        <v>5.2882891271668324</v>
      </c>
      <c r="E854" s="693">
        <f t="shared" si="663"/>
        <v>2.7766936730659435E-2</v>
      </c>
      <c r="F854" s="693">
        <f t="shared" si="663"/>
        <v>7.6845446782653351E-3</v>
      </c>
      <c r="G854" s="693">
        <f t="shared" si="663"/>
        <v>2.0696604384672974E-2</v>
      </c>
      <c r="H854" s="693">
        <f t="shared" si="663"/>
        <v>3.8073770095664754E-2</v>
      </c>
      <c r="I854" s="693">
        <f t="shared" si="663"/>
        <v>8.4250615030577198E-3</v>
      </c>
      <c r="J854" s="693">
        <f t="shared" si="663"/>
        <v>4.2955261178439699E-3</v>
      </c>
      <c r="K854" s="693">
        <f t="shared" si="663"/>
        <v>9.2035272835856502E-10</v>
      </c>
      <c r="L854" s="693">
        <f t="shared" si="663"/>
        <v>1.6524990926171882E-9</v>
      </c>
      <c r="M854" s="693">
        <f t="shared" si="663"/>
        <v>8.2802128108168539E-10</v>
      </c>
      <c r="N854" s="693">
        <f t="shared" si="663"/>
        <v>1.0177454047325066E-9</v>
      </c>
      <c r="O854" s="693">
        <f t="shared" si="663"/>
        <v>1.1965969934234118E-8</v>
      </c>
      <c r="P854" s="693">
        <f t="shared" si="663"/>
        <v>1.5224160159212816E-9</v>
      </c>
      <c r="Q854" s="693">
        <f t="shared" si="663"/>
        <v>1.6078624579969973E-6</v>
      </c>
      <c r="R854" s="693">
        <f t="shared" si="663"/>
        <v>1.7203752720648363E-6</v>
      </c>
      <c r="S854" s="693">
        <f t="shared" si="663"/>
        <v>4.5184768041019677E-6</v>
      </c>
      <c r="T854" s="693">
        <f t="shared" si="663"/>
        <v>1.6494651240467527E-5</v>
      </c>
      <c r="U854" s="693">
        <f t="shared" si="663"/>
        <v>1.7463344208600495E-4</v>
      </c>
      <c r="V854" s="693">
        <f t="shared" si="663"/>
        <v>9.4181566661443524E-4</v>
      </c>
      <c r="W854" s="693">
        <f t="shared" si="663"/>
        <v>4.3438843126341435E-3</v>
      </c>
      <c r="X854" s="693">
        <f t="shared" si="663"/>
        <v>1.5149266463461222E-6</v>
      </c>
      <c r="Y854" s="693">
        <f t="shared" si="663"/>
        <v>1.0863820470551743E-5</v>
      </c>
      <c r="Z854" s="693">
        <f t="shared" si="663"/>
        <v>9.3656212918669647E-5</v>
      </c>
      <c r="AA854" s="693">
        <f t="shared" si="663"/>
        <v>5.9277774142548498E-15</v>
      </c>
      <c r="AB854" s="693">
        <f t="shared" si="663"/>
        <v>1.0319439931831141E-14</v>
      </c>
      <c r="AC854" s="693">
        <f t="shared" si="663"/>
        <v>2.8424564715825864E-14</v>
      </c>
      <c r="AD854" s="693">
        <f t="shared" si="663"/>
        <v>3.2510034700794879E-15</v>
      </c>
      <c r="AE854" s="693">
        <f t="shared" si="663"/>
        <v>2.4324709536818182E-15</v>
      </c>
      <c r="AF854" s="693">
        <f t="shared" si="663"/>
        <v>4.2799144250653238E-15</v>
      </c>
    </row>
    <row r="855" spans="1:33" s="694" customFormat="1" x14ac:dyDescent="0.2">
      <c r="A855" s="691" t="s">
        <v>657</v>
      </c>
      <c r="C855" s="693">
        <f t="shared" ref="C855:AF855" si="664">C449^2/C$133^2+C472^2/C$136^2-2*C501/C$517</f>
        <v>2.1945726637632908E-5</v>
      </c>
      <c r="D855" s="693">
        <f t="shared" si="664"/>
        <v>0.29071711294177305</v>
      </c>
      <c r="E855" s="693">
        <f t="shared" si="664"/>
        <v>5.4854591451367497E-3</v>
      </c>
      <c r="F855" s="693">
        <f t="shared" si="664"/>
        <v>4.8604810732323384E-3</v>
      </c>
      <c r="G855" s="693">
        <f t="shared" si="664"/>
        <v>1.4397068920869154E-2</v>
      </c>
      <c r="H855" s="693">
        <f t="shared" si="664"/>
        <v>5.6214288994957586E-3</v>
      </c>
      <c r="I855" s="693">
        <f t="shared" si="664"/>
        <v>3.1152650057492581E-3</v>
      </c>
      <c r="J855" s="693">
        <f t="shared" si="664"/>
        <v>1.0734986483149555E-3</v>
      </c>
      <c r="K855" s="693">
        <f t="shared" si="664"/>
        <v>9.9278961962927042E-8</v>
      </c>
      <c r="L855" s="693">
        <f t="shared" si="664"/>
        <v>4.2944731420975762E-7</v>
      </c>
      <c r="M855" s="693">
        <f t="shared" si="664"/>
        <v>3.083081462449158E-7</v>
      </c>
      <c r="N855" s="693">
        <f t="shared" si="664"/>
        <v>2.312116548404135E-7</v>
      </c>
      <c r="O855" s="693">
        <f t="shared" si="664"/>
        <v>7.824125634590555E-7</v>
      </c>
      <c r="P855" s="693">
        <f t="shared" si="664"/>
        <v>4.1161163625657599E-7</v>
      </c>
      <c r="Q855" s="693">
        <f t="shared" si="664"/>
        <v>1.2898356454840287E-5</v>
      </c>
      <c r="R855" s="693">
        <f t="shared" si="664"/>
        <v>3.4730065670547411E-5</v>
      </c>
      <c r="S855" s="693">
        <f t="shared" si="664"/>
        <v>4.2019497261103549E-5</v>
      </c>
      <c r="T855" s="693">
        <f t="shared" si="664"/>
        <v>6.5540712498111996E-5</v>
      </c>
      <c r="U855" s="693">
        <f t="shared" si="664"/>
        <v>1.0243113203102024E-4</v>
      </c>
      <c r="V855" s="693">
        <f t="shared" si="664"/>
        <v>2.0836169679378552E-4</v>
      </c>
      <c r="W855" s="693">
        <f t="shared" si="664"/>
        <v>2.9272333538337162E-4</v>
      </c>
      <c r="X855" s="693">
        <f t="shared" si="664"/>
        <v>1.3671814603685567E-5</v>
      </c>
      <c r="Y855" s="693">
        <f t="shared" si="664"/>
        <v>6.010189261617308E-5</v>
      </c>
      <c r="Z855" s="693">
        <f t="shared" si="664"/>
        <v>7.1015044683308238E-5</v>
      </c>
      <c r="AA855" s="693">
        <f t="shared" si="664"/>
        <v>1.1356437943343651E-11</v>
      </c>
      <c r="AB855" s="693">
        <f t="shared" si="664"/>
        <v>1.3019108165297162E-11</v>
      </c>
      <c r="AC855" s="693">
        <f t="shared" si="664"/>
        <v>2.4115400132739757E-11</v>
      </c>
      <c r="AD855" s="693">
        <f t="shared" si="664"/>
        <v>1.2115678733431927E-11</v>
      </c>
      <c r="AE855" s="693">
        <f t="shared" si="664"/>
        <v>1.1602058796518655E-11</v>
      </c>
      <c r="AF855" s="693">
        <f t="shared" si="664"/>
        <v>2.6301659037916738E-11</v>
      </c>
    </row>
    <row r="856" spans="1:33" s="694" customFormat="1" x14ac:dyDescent="0.2">
      <c r="A856" s="691" t="s">
        <v>665</v>
      </c>
      <c r="C856" s="693">
        <f t="shared" ref="C856:AF856" si="665">C455^2/C$133^2+C480^2/C$136^2-2*C507/C$517</f>
        <v>5.0580412343880585E-5</v>
      </c>
      <c r="D856" s="693">
        <f t="shared" si="665"/>
        <v>4.8630754800831212E-2</v>
      </c>
      <c r="E856" s="693">
        <f t="shared" si="665"/>
        <v>4.4943291829724783E-3</v>
      </c>
      <c r="F856" s="693">
        <f t="shared" si="665"/>
        <v>1.4989142244817545E-2</v>
      </c>
      <c r="G856" s="693">
        <f t="shared" si="665"/>
        <v>1.3707555558374281E-2</v>
      </c>
      <c r="H856" s="693">
        <f t="shared" si="665"/>
        <v>6.3385678102584825E-3</v>
      </c>
      <c r="I856" s="693">
        <f t="shared" si="665"/>
        <v>1.9859423745905627E-3</v>
      </c>
      <c r="J856" s="693">
        <f t="shared" si="665"/>
        <v>1.8581170480136977E-3</v>
      </c>
      <c r="K856" s="693">
        <f t="shared" si="665"/>
        <v>1.6771783023041883E-7</v>
      </c>
      <c r="L856" s="693">
        <f t="shared" si="665"/>
        <v>2.234056393530289E-7</v>
      </c>
      <c r="M856" s="693">
        <f t="shared" si="665"/>
        <v>2.3009955322911838E-7</v>
      </c>
      <c r="N856" s="693">
        <f t="shared" si="665"/>
        <v>1.9257821605277146E-7</v>
      </c>
      <c r="O856" s="693">
        <f t="shared" si="665"/>
        <v>4.5048493769806448E-7</v>
      </c>
      <c r="P856" s="693">
        <f t="shared" si="665"/>
        <v>2.2807414034041078E-7</v>
      </c>
      <c r="Q856" s="693">
        <f t="shared" si="665"/>
        <v>1.1653521907230118E-6</v>
      </c>
      <c r="R856" s="693">
        <f t="shared" si="665"/>
        <v>3.3393148937618568E-7</v>
      </c>
      <c r="S856" s="693">
        <f t="shared" si="665"/>
        <v>3.5240253843773138E-7</v>
      </c>
      <c r="T856" s="693">
        <f t="shared" si="665"/>
        <v>5.4561878148894009E-7</v>
      </c>
      <c r="U856" s="693">
        <f t="shared" si="665"/>
        <v>1.9440001938462068E-6</v>
      </c>
      <c r="V856" s="693">
        <f t="shared" si="665"/>
        <v>2.9172291874420342E-6</v>
      </c>
      <c r="W856" s="693">
        <f t="shared" si="665"/>
        <v>4.8660064326081494E-6</v>
      </c>
      <c r="X856" s="693">
        <f t="shared" si="665"/>
        <v>2.7752583204932484E-7</v>
      </c>
      <c r="Y856" s="693">
        <f t="shared" si="665"/>
        <v>1.0522156357265323E-6</v>
      </c>
      <c r="Z856" s="693">
        <f t="shared" si="665"/>
        <v>1.1138978349986855E-6</v>
      </c>
      <c r="AA856" s="693">
        <f t="shared" si="665"/>
        <v>4.0199504344774547E-8</v>
      </c>
      <c r="AB856" s="693">
        <f t="shared" si="665"/>
        <v>4.0091662127280389E-8</v>
      </c>
      <c r="AC856" s="693">
        <f t="shared" si="665"/>
        <v>4.0258410274267542E-8</v>
      </c>
      <c r="AD856" s="693">
        <f t="shared" si="665"/>
        <v>4.0370015094111089E-8</v>
      </c>
      <c r="AE856" s="693">
        <f t="shared" si="665"/>
        <v>4.0354633878556349E-8</v>
      </c>
      <c r="AF856" s="693">
        <f t="shared" si="665"/>
        <v>4.0690134763125823E-8</v>
      </c>
    </row>
    <row r="857" spans="1:33" s="694" customFormat="1" x14ac:dyDescent="0.2">
      <c r="A857" s="691" t="s">
        <v>667</v>
      </c>
      <c r="C857" s="693">
        <f t="shared" ref="C857:AF857" si="666">C457^2/C$133^2+C482^2/C$136^2-2*C509/C$517</f>
        <v>3.6997348510497259E-7</v>
      </c>
      <c r="D857" s="693">
        <f t="shared" si="666"/>
        <v>1.1503738710787149E-3</v>
      </c>
      <c r="E857" s="693">
        <f t="shared" si="666"/>
        <v>3.3375505981482466E-5</v>
      </c>
      <c r="F857" s="693">
        <f t="shared" si="666"/>
        <v>1.1167283493217198E-5</v>
      </c>
      <c r="G857" s="693">
        <f t="shared" si="666"/>
        <v>1.6372903924720284E-5</v>
      </c>
      <c r="H857" s="693">
        <f t="shared" si="666"/>
        <v>2.4155272130610026E-5</v>
      </c>
      <c r="I857" s="693">
        <f t="shared" si="666"/>
        <v>1.208453695280466E-5</v>
      </c>
      <c r="J857" s="693">
        <f t="shared" si="666"/>
        <v>9.7687177915920693E-6</v>
      </c>
      <c r="K857" s="693">
        <f t="shared" si="666"/>
        <v>9.8524646532536665E-9</v>
      </c>
      <c r="L857" s="693">
        <f t="shared" si="666"/>
        <v>2.8806836010502668E-8</v>
      </c>
      <c r="M857" s="693">
        <f t="shared" si="666"/>
        <v>3.2486723741090029E-8</v>
      </c>
      <c r="N857" s="693">
        <f t="shared" si="666"/>
        <v>1.8428055481180629E-8</v>
      </c>
      <c r="O857" s="693">
        <f t="shared" si="666"/>
        <v>1.4525785497545941E-7</v>
      </c>
      <c r="P857" s="693">
        <f t="shared" si="666"/>
        <v>3.0250252822325073E-8</v>
      </c>
      <c r="Q857" s="693">
        <f t="shared" si="666"/>
        <v>5.0076280075269919E-7</v>
      </c>
      <c r="R857" s="693">
        <f t="shared" si="666"/>
        <v>2.0245764096405013E-6</v>
      </c>
      <c r="S857" s="693">
        <f t="shared" si="666"/>
        <v>2.2905702905253626E-6</v>
      </c>
      <c r="T857" s="693">
        <f t="shared" si="666"/>
        <v>2.8465133529400248E-6</v>
      </c>
      <c r="U857" s="693">
        <f t="shared" si="666"/>
        <v>8.7952005586199669E-6</v>
      </c>
      <c r="V857" s="693">
        <f t="shared" si="666"/>
        <v>1.7064426199065292E-5</v>
      </c>
      <c r="W857" s="693">
        <f t="shared" si="666"/>
        <v>4.015254290055927E-5</v>
      </c>
      <c r="X857" s="693">
        <f t="shared" si="666"/>
        <v>1.7753152830711531E-6</v>
      </c>
      <c r="Y857" s="693">
        <f t="shared" si="666"/>
        <v>5.5198981245838851E-6</v>
      </c>
      <c r="Z857" s="693">
        <f t="shared" si="666"/>
        <v>7.3954758857081893E-6</v>
      </c>
      <c r="AA857" s="693">
        <f t="shared" si="666"/>
        <v>2.4366863668548956E-15</v>
      </c>
      <c r="AB857" s="693">
        <f t="shared" si="666"/>
        <v>1.6529461701029582E-15</v>
      </c>
      <c r="AC857" s="693">
        <f t="shared" si="666"/>
        <v>7.5929582554814834E-15</v>
      </c>
      <c r="AD857" s="693">
        <f t="shared" si="666"/>
        <v>1.2709770764186328E-15</v>
      </c>
      <c r="AE857" s="693">
        <f t="shared" si="666"/>
        <v>1.5111259231500262E-15</v>
      </c>
      <c r="AF857" s="693">
        <f t="shared" si="666"/>
        <v>1.5091467055671905E-15</v>
      </c>
    </row>
    <row r="858" spans="1:33" s="694" customFormat="1" x14ac:dyDescent="0.2">
      <c r="A858" s="691" t="s">
        <v>669</v>
      </c>
      <c r="C858" s="693">
        <f t="shared" ref="C858:AF858" si="667">C459^2/C$133^2+C484^2/C$136^2-2*C511/C$517</f>
        <v>1.3119110887679634E-5</v>
      </c>
      <c r="D858" s="693">
        <f t="shared" si="667"/>
        <v>2.7352953669114225E-2</v>
      </c>
      <c r="E858" s="693">
        <f t="shared" si="667"/>
        <v>1.0946184266476542E-3</v>
      </c>
      <c r="F858" s="693">
        <f t="shared" si="667"/>
        <v>4.0080163319016409E-4</v>
      </c>
      <c r="G858" s="693">
        <f t="shared" si="667"/>
        <v>4.5413436694351016E-4</v>
      </c>
      <c r="H858" s="693">
        <f t="shared" si="667"/>
        <v>8.5412526137641667E-4</v>
      </c>
      <c r="I858" s="693">
        <f t="shared" si="667"/>
        <v>4.090681092723833E-4</v>
      </c>
      <c r="J858" s="693">
        <f t="shared" si="667"/>
        <v>3.8440550255490561E-4</v>
      </c>
      <c r="K858" s="693">
        <f t="shared" si="667"/>
        <v>3.4313389341231342E-7</v>
      </c>
      <c r="L858" s="693">
        <f t="shared" si="667"/>
        <v>1.0033829606965563E-6</v>
      </c>
      <c r="M858" s="693">
        <f t="shared" si="667"/>
        <v>1.1312486759486027E-6</v>
      </c>
      <c r="N858" s="693">
        <f t="shared" si="667"/>
        <v>6.4135204210131743E-7</v>
      </c>
      <c r="O858" s="693">
        <f t="shared" si="667"/>
        <v>5.0534246755523532E-6</v>
      </c>
      <c r="P858" s="693">
        <f t="shared" si="667"/>
        <v>1.0500236200281497E-6</v>
      </c>
      <c r="Q858" s="693">
        <f t="shared" si="667"/>
        <v>1.7252208044263688E-5</v>
      </c>
      <c r="R858" s="693">
        <f t="shared" si="667"/>
        <v>6.8778406409801711E-5</v>
      </c>
      <c r="S858" s="693">
        <f t="shared" si="667"/>
        <v>7.8195853131312075E-5</v>
      </c>
      <c r="T858" s="693">
        <f t="shared" si="667"/>
        <v>9.7709143861202677E-5</v>
      </c>
      <c r="U858" s="693">
        <f t="shared" si="667"/>
        <v>3.0331306147541703E-4</v>
      </c>
      <c r="V858" s="693">
        <f t="shared" si="667"/>
        <v>5.7123901671358003E-4</v>
      </c>
      <c r="W858" s="693">
        <f t="shared" si="667"/>
        <v>1.3482797191897739E-3</v>
      </c>
      <c r="X858" s="693">
        <f t="shared" si="667"/>
        <v>6.1577026724336608E-5</v>
      </c>
      <c r="Y858" s="693">
        <f t="shared" si="667"/>
        <v>1.916131820764199E-4</v>
      </c>
      <c r="Z858" s="693">
        <f t="shared" si="667"/>
        <v>2.5343371572224353E-4</v>
      </c>
      <c r="AA858" s="693">
        <f t="shared" si="667"/>
        <v>7.32408688273647E-12</v>
      </c>
      <c r="AB858" s="693">
        <f t="shared" si="667"/>
        <v>4.8224237945564433E-12</v>
      </c>
      <c r="AC858" s="693">
        <f t="shared" si="667"/>
        <v>2.2111085267590273E-11</v>
      </c>
      <c r="AD858" s="693">
        <f t="shared" si="667"/>
        <v>3.6760633474467288E-12</v>
      </c>
      <c r="AE858" s="693">
        <f t="shared" si="667"/>
        <v>4.5558940217385195E-12</v>
      </c>
      <c r="AF858" s="693">
        <f t="shared" si="667"/>
        <v>4.3688967903470646E-12</v>
      </c>
    </row>
    <row r="859" spans="1:33" s="694" customFormat="1" x14ac:dyDescent="0.2">
      <c r="A859" s="691" t="s">
        <v>671</v>
      </c>
      <c r="C859" s="693">
        <f t="shared" ref="C859:AF859" si="668">C486^2/C$136^2</f>
        <v>9.3865804235933908E-5</v>
      </c>
      <c r="D859" s="693">
        <f t="shared" si="668"/>
        <v>8.3706122485850853E-2</v>
      </c>
      <c r="E859" s="693">
        <f t="shared" si="668"/>
        <v>9.365525305215382E-3</v>
      </c>
      <c r="F859" s="693">
        <f t="shared" si="668"/>
        <v>3.7668407154460057E-2</v>
      </c>
      <c r="G859" s="693">
        <f t="shared" si="668"/>
        <v>3.2637642128950935E-2</v>
      </c>
      <c r="H859" s="693">
        <f t="shared" si="668"/>
        <v>1.4064483914714104E-2</v>
      </c>
      <c r="I859" s="693">
        <f t="shared" si="668"/>
        <v>4.2591564890579921E-3</v>
      </c>
      <c r="J859" s="693">
        <f t="shared" si="668"/>
        <v>3.9986345551888784E-3</v>
      </c>
      <c r="K859" s="693">
        <f t="shared" si="668"/>
        <v>0</v>
      </c>
      <c r="L859" s="693">
        <f t="shared" si="668"/>
        <v>0</v>
      </c>
      <c r="M859" s="693">
        <f t="shared" si="668"/>
        <v>0</v>
      </c>
      <c r="N859" s="693">
        <f t="shared" si="668"/>
        <v>0</v>
      </c>
      <c r="O859" s="693">
        <f t="shared" si="668"/>
        <v>0</v>
      </c>
      <c r="P859" s="693">
        <f t="shared" si="668"/>
        <v>0</v>
      </c>
      <c r="Q859" s="693">
        <f t="shared" si="668"/>
        <v>0</v>
      </c>
      <c r="R859" s="693">
        <f t="shared" si="668"/>
        <v>0</v>
      </c>
      <c r="S859" s="693">
        <f t="shared" si="668"/>
        <v>2.0395548821003761E-9</v>
      </c>
      <c r="T859" s="693">
        <f t="shared" si="668"/>
        <v>2.4323077725675602E-7</v>
      </c>
      <c r="U859" s="693">
        <f t="shared" si="668"/>
        <v>1.3877535878051219E-6</v>
      </c>
      <c r="V859" s="693">
        <f t="shared" si="668"/>
        <v>0</v>
      </c>
      <c r="W859" s="693">
        <f t="shared" si="668"/>
        <v>0</v>
      </c>
      <c r="X859" s="693">
        <f t="shared" si="668"/>
        <v>0</v>
      </c>
      <c r="Y859" s="693">
        <f t="shared" si="668"/>
        <v>1.8495429288007761E-7</v>
      </c>
      <c r="Z859" s="693">
        <f t="shared" si="668"/>
        <v>7.627048922641611E-9</v>
      </c>
      <c r="AA859" s="693">
        <f t="shared" si="668"/>
        <v>2.0798598028094061E-12</v>
      </c>
      <c r="AB859" s="693">
        <f t="shared" si="668"/>
        <v>9.2715286520370262E-13</v>
      </c>
      <c r="AC859" s="693">
        <f t="shared" si="668"/>
        <v>3.5641619693714021E-13</v>
      </c>
      <c r="AD859" s="693">
        <f t="shared" si="668"/>
        <v>9.3841579300661091E-12</v>
      </c>
      <c r="AE859" s="693">
        <f t="shared" si="668"/>
        <v>9.260770468322806E-12</v>
      </c>
      <c r="AF859" s="693">
        <f t="shared" si="668"/>
        <v>2.5639058260610713E-11</v>
      </c>
    </row>
    <row r="860" spans="1:33" s="694" customFormat="1" x14ac:dyDescent="0.2">
      <c r="A860" s="691" t="s">
        <v>673</v>
      </c>
      <c r="C860" s="693">
        <f t="shared" ref="C860:AF860" si="669">C461^2/C$133^2+C488^2/C$136^2-2*C513/C$517</f>
        <v>5.5574014568418996E-6</v>
      </c>
      <c r="D860" s="693">
        <f t="shared" si="669"/>
        <v>6.7483160563733746E-4</v>
      </c>
      <c r="E860" s="693">
        <f t="shared" si="669"/>
        <v>4.3914972296567941E-4</v>
      </c>
      <c r="F860" s="693">
        <f t="shared" si="669"/>
        <v>2.3045356837656087E-3</v>
      </c>
      <c r="G860" s="693">
        <f t="shared" si="669"/>
        <v>7.7426068184061677E-4</v>
      </c>
      <c r="H860" s="693">
        <f t="shared" si="669"/>
        <v>8.2625774382198919E-4</v>
      </c>
      <c r="I860" s="693">
        <f t="shared" si="669"/>
        <v>2.205508431650596E-4</v>
      </c>
      <c r="J860" s="693">
        <f t="shared" si="669"/>
        <v>3.066889343434655E-4</v>
      </c>
      <c r="K860" s="693">
        <f t="shared" si="669"/>
        <v>0</v>
      </c>
      <c r="L860" s="693">
        <f t="shared" si="669"/>
        <v>8.9284489141380045E-44</v>
      </c>
      <c r="M860" s="693">
        <f t="shared" si="669"/>
        <v>1.0470683736462159E-43</v>
      </c>
      <c r="N860" s="693">
        <f t="shared" si="669"/>
        <v>4.3018075735071464E-44</v>
      </c>
      <c r="O860" s="693">
        <f t="shared" si="669"/>
        <v>5.7510807431125764E-43</v>
      </c>
      <c r="P860" s="693">
        <f t="shared" si="669"/>
        <v>1.4880851145623628E-43</v>
      </c>
      <c r="Q860" s="693">
        <f t="shared" si="669"/>
        <v>3.6833088915610598E-42</v>
      </c>
      <c r="R860" s="693">
        <f t="shared" si="669"/>
        <v>2.5356106680641903E-42</v>
      </c>
      <c r="S860" s="693">
        <f t="shared" si="669"/>
        <v>1.0842876109565039E-10</v>
      </c>
      <c r="T860" s="693">
        <f t="shared" si="669"/>
        <v>1.3142118521790612E-8</v>
      </c>
      <c r="U860" s="693">
        <f t="shared" si="669"/>
        <v>7.6010430384853696E-8</v>
      </c>
      <c r="V860" s="693">
        <f t="shared" si="669"/>
        <v>1.8107934906589804E-40</v>
      </c>
      <c r="W860" s="693">
        <f t="shared" si="669"/>
        <v>2.5284414581906993E-40</v>
      </c>
      <c r="X860" s="693">
        <f t="shared" si="669"/>
        <v>4.1356230166926288E-42</v>
      </c>
      <c r="Y860" s="693">
        <f t="shared" si="669"/>
        <v>1.0324137490215091E-8</v>
      </c>
      <c r="Z860" s="693">
        <f t="shared" si="669"/>
        <v>4.1008489206760304E-10</v>
      </c>
      <c r="AA860" s="693">
        <f t="shared" si="669"/>
        <v>1.5682376192907177E-12</v>
      </c>
      <c r="AB860" s="693">
        <f t="shared" si="669"/>
        <v>7.0033281248852662E-13</v>
      </c>
      <c r="AC860" s="693">
        <f t="shared" si="669"/>
        <v>2.6925220814177165E-13</v>
      </c>
      <c r="AD860" s="693">
        <f t="shared" si="669"/>
        <v>7.0921132132608579E-12</v>
      </c>
      <c r="AE860" s="693">
        <f t="shared" si="669"/>
        <v>6.9814643092593201E-12</v>
      </c>
      <c r="AF860" s="693">
        <f t="shared" si="669"/>
        <v>1.9375749628514028E-11</v>
      </c>
    </row>
    <row r="861" spans="1:33" s="694" customFormat="1" x14ac:dyDescent="0.2">
      <c r="A861" s="691" t="s">
        <v>659</v>
      </c>
      <c r="C861" s="693">
        <f t="shared" ref="C861:AF861" si="670">C451^2/C$133^2+C474^2/C$136^2-2*C503/C$517</f>
        <v>1.0603255847593729E-8</v>
      </c>
      <c r="D861" s="693">
        <f t="shared" si="670"/>
        <v>1.6809105531684558E-5</v>
      </c>
      <c r="E861" s="693">
        <f t="shared" si="670"/>
        <v>5.8797276927399486E-7</v>
      </c>
      <c r="F861" s="693">
        <f t="shared" si="670"/>
        <v>2.8143716184339948E-7</v>
      </c>
      <c r="G861" s="693">
        <f t="shared" si="670"/>
        <v>5.654559627563055E-7</v>
      </c>
      <c r="H861" s="693">
        <f t="shared" si="670"/>
        <v>6.7697214776071194E-7</v>
      </c>
      <c r="I861" s="693">
        <f t="shared" si="670"/>
        <v>1.8469108887298569E-7</v>
      </c>
      <c r="J861" s="693">
        <f t="shared" si="670"/>
        <v>2.168005190752348E-7</v>
      </c>
      <c r="K861" s="693">
        <f t="shared" si="670"/>
        <v>6.6141323386174747E-11</v>
      </c>
      <c r="L861" s="693">
        <f t="shared" si="670"/>
        <v>6.940980873644482E-11</v>
      </c>
      <c r="M861" s="693">
        <f t="shared" si="670"/>
        <v>5.6530301451352106E-11</v>
      </c>
      <c r="N861" s="693">
        <f t="shared" si="670"/>
        <v>4.9681681091553272E-11</v>
      </c>
      <c r="O861" s="693">
        <f t="shared" si="670"/>
        <v>1.5046521358064229E-10</v>
      </c>
      <c r="P861" s="693">
        <f t="shared" si="670"/>
        <v>7.8394639399327705E-11</v>
      </c>
      <c r="Q861" s="693">
        <f t="shared" si="670"/>
        <v>3.0977341322996512E-9</v>
      </c>
      <c r="R861" s="693">
        <f t="shared" si="670"/>
        <v>0</v>
      </c>
      <c r="S861" s="693">
        <f t="shared" si="670"/>
        <v>0</v>
      </c>
      <c r="T861" s="693">
        <f t="shared" si="670"/>
        <v>0</v>
      </c>
      <c r="U861" s="693">
        <f t="shared" si="670"/>
        <v>0</v>
      </c>
      <c r="V861" s="693">
        <f t="shared" si="670"/>
        <v>0</v>
      </c>
      <c r="W861" s="693">
        <f t="shared" si="670"/>
        <v>0</v>
      </c>
      <c r="X861" s="693">
        <f t="shared" si="670"/>
        <v>0</v>
      </c>
      <c r="Y861" s="693">
        <f t="shared" si="670"/>
        <v>0</v>
      </c>
      <c r="Z861" s="693">
        <f t="shared" si="670"/>
        <v>0</v>
      </c>
      <c r="AA861" s="693">
        <f t="shared" si="670"/>
        <v>9.6270070240216965E-15</v>
      </c>
      <c r="AB861" s="693">
        <f t="shared" si="670"/>
        <v>7.0399692856083325E-15</v>
      </c>
      <c r="AC861" s="693">
        <f t="shared" si="670"/>
        <v>3.2278717994811895E-14</v>
      </c>
      <c r="AD861" s="693">
        <f t="shared" si="670"/>
        <v>5.210970809463402E-15</v>
      </c>
      <c r="AE861" s="693">
        <f t="shared" si="670"/>
        <v>2.8701751412016203E-15</v>
      </c>
      <c r="AF861" s="693">
        <f t="shared" si="670"/>
        <v>8.2696797662651285E-15</v>
      </c>
    </row>
    <row r="862" spans="1:33" s="694" customFormat="1" x14ac:dyDescent="0.2">
      <c r="A862" s="691" t="s">
        <v>661</v>
      </c>
      <c r="C862" s="693">
        <f t="shared" ref="C862:AF862" si="671">C476^2/C$136^2</f>
        <v>2.1689689031297463E-14</v>
      </c>
      <c r="D862" s="693">
        <f t="shared" si="671"/>
        <v>3.2017039541517032E-11</v>
      </c>
      <c r="E862" s="693">
        <f t="shared" si="671"/>
        <v>1.1876481660262684E-12</v>
      </c>
      <c r="F862" s="693">
        <f t="shared" si="671"/>
        <v>5.7679586161365786E-13</v>
      </c>
      <c r="G862" s="693">
        <f t="shared" si="671"/>
        <v>1.1093323836574183E-12</v>
      </c>
      <c r="H862" s="693">
        <f t="shared" si="671"/>
        <v>1.3841757179002095E-12</v>
      </c>
      <c r="I862" s="693">
        <f t="shared" si="671"/>
        <v>3.7499727821355004E-13</v>
      </c>
      <c r="J862" s="693">
        <f t="shared" si="671"/>
        <v>4.5061736598113725E-13</v>
      </c>
      <c r="K862" s="693">
        <f t="shared" si="671"/>
        <v>5.4771931052771925E-18</v>
      </c>
      <c r="L862" s="693">
        <f t="shared" si="671"/>
        <v>5.747997357709367E-18</v>
      </c>
      <c r="M862" s="693">
        <f t="shared" si="671"/>
        <v>4.6811557569594393E-18</v>
      </c>
      <c r="N862" s="693">
        <f t="shared" si="671"/>
        <v>4.1135878730608063E-18</v>
      </c>
      <c r="O862" s="693">
        <f t="shared" si="671"/>
        <v>1.2457366680808667E-17</v>
      </c>
      <c r="P862" s="693">
        <f t="shared" si="671"/>
        <v>6.4875397326453357E-18</v>
      </c>
      <c r="Q862" s="693">
        <f t="shared" si="671"/>
        <v>2.5596483508128979E-16</v>
      </c>
      <c r="R862" s="693">
        <f t="shared" si="671"/>
        <v>3.62651530216374E-16</v>
      </c>
      <c r="S862" s="693">
        <f t="shared" si="671"/>
        <v>4.1374945814835523E-16</v>
      </c>
      <c r="T862" s="693">
        <f t="shared" si="671"/>
        <v>1.0676400989539814E-15</v>
      </c>
      <c r="U862" s="693">
        <f t="shared" si="671"/>
        <v>2.7550940910423807E-15</v>
      </c>
      <c r="V862" s="693">
        <f t="shared" si="671"/>
        <v>1.0969414720427358E-14</v>
      </c>
      <c r="W862" s="693">
        <f t="shared" si="671"/>
        <v>3.1275642075334969E-14</v>
      </c>
      <c r="X862" s="693">
        <f t="shared" si="671"/>
        <v>3.6274356354540888E-16</v>
      </c>
      <c r="Y862" s="693">
        <f t="shared" si="671"/>
        <v>5.6501162169219903E-16</v>
      </c>
      <c r="Z862" s="693">
        <f t="shared" si="671"/>
        <v>3.1299318286642873E-15</v>
      </c>
      <c r="AA862" s="693">
        <f t="shared" si="671"/>
        <v>2.7115601720121675E-20</v>
      </c>
      <c r="AB862" s="693">
        <f t="shared" si="671"/>
        <v>1.9837440459375722E-20</v>
      </c>
      <c r="AC862" s="693">
        <f t="shared" si="671"/>
        <v>9.0958418332552544E-20</v>
      </c>
      <c r="AD862" s="693">
        <f t="shared" si="671"/>
        <v>1.4685486212565254E-20</v>
      </c>
      <c r="AE862" s="693">
        <f t="shared" si="671"/>
        <v>8.0838354777464969E-21</v>
      </c>
      <c r="AF862" s="693">
        <f t="shared" si="671"/>
        <v>2.3305188146761489E-20</v>
      </c>
    </row>
    <row r="863" spans="1:33" s="694" customFormat="1" x14ac:dyDescent="0.2">
      <c r="A863" s="691" t="s">
        <v>663</v>
      </c>
      <c r="C863" s="693">
        <f t="shared" ref="C863:AF863" si="672">C453^2/C$133^2+C478^2/C$136^2-2*C505/C$517</f>
        <v>2.5671548085116282E-7</v>
      </c>
      <c r="D863" s="693">
        <f t="shared" si="672"/>
        <v>4.0866030555118102E-4</v>
      </c>
      <c r="E863" s="693">
        <f t="shared" si="672"/>
        <v>1.4246052270297086E-5</v>
      </c>
      <c r="F863" s="693">
        <f t="shared" si="672"/>
        <v>6.813106147432985E-6</v>
      </c>
      <c r="G863" s="693">
        <f t="shared" si="672"/>
        <v>1.3723899043940532E-5</v>
      </c>
      <c r="H863" s="693">
        <f t="shared" si="672"/>
        <v>1.6390610001385972E-5</v>
      </c>
      <c r="I863" s="693">
        <f t="shared" si="672"/>
        <v>4.4735292411125657E-6</v>
      </c>
      <c r="J863" s="693">
        <f t="shared" si="672"/>
        <v>5.243964039580291E-6</v>
      </c>
      <c r="K863" s="693">
        <f t="shared" si="672"/>
        <v>5.2101452165608995E-9</v>
      </c>
      <c r="L863" s="693">
        <f t="shared" si="672"/>
        <v>5.4676343517915465E-9</v>
      </c>
      <c r="M863" s="693">
        <f t="shared" si="672"/>
        <v>4.4530352346514105E-9</v>
      </c>
      <c r="N863" s="693">
        <f t="shared" si="672"/>
        <v>3.9134845975007059E-9</v>
      </c>
      <c r="O863" s="693">
        <f t="shared" si="672"/>
        <v>1.1852173926065942E-8</v>
      </c>
      <c r="P863" s="693">
        <f t="shared" si="672"/>
        <v>6.1747188809372047E-9</v>
      </c>
      <c r="Q863" s="693">
        <f t="shared" si="672"/>
        <v>2.4393323644513596E-7</v>
      </c>
      <c r="R863" s="693">
        <f t="shared" si="672"/>
        <v>1.4185981923056425E-7</v>
      </c>
      <c r="S863" s="693">
        <f t="shared" si="672"/>
        <v>1.6171245447987158E-7</v>
      </c>
      <c r="T863" s="693">
        <f t="shared" si="672"/>
        <v>4.1689218906967251E-7</v>
      </c>
      <c r="U863" s="693">
        <f t="shared" si="672"/>
        <v>1.074955467903903E-6</v>
      </c>
      <c r="V863" s="693">
        <f t="shared" si="672"/>
        <v>4.3018529896931879E-6</v>
      </c>
      <c r="W863" s="693">
        <f t="shared" si="672"/>
        <v>1.2258754445091104E-5</v>
      </c>
      <c r="X863" s="693">
        <f t="shared" si="672"/>
        <v>1.413934656602693E-7</v>
      </c>
      <c r="Y863" s="693">
        <f t="shared" si="672"/>
        <v>2.2020514622853767E-7</v>
      </c>
      <c r="Z863" s="693">
        <f t="shared" si="672"/>
        <v>1.222523822960367E-6</v>
      </c>
      <c r="AA863" s="693">
        <f t="shared" si="672"/>
        <v>2.2830393595351203E-13</v>
      </c>
      <c r="AB863" s="693">
        <f t="shared" si="672"/>
        <v>1.6694742099921822E-13</v>
      </c>
      <c r="AC863" s="693">
        <f t="shared" si="672"/>
        <v>7.6546334751517475E-13</v>
      </c>
      <c r="AD863" s="693">
        <f t="shared" si="672"/>
        <v>1.2357303986885608E-13</v>
      </c>
      <c r="AE863" s="693">
        <f t="shared" si="672"/>
        <v>6.8066252204592502E-14</v>
      </c>
      <c r="AF863" s="693">
        <f t="shared" si="672"/>
        <v>1.9610749333424814E-13</v>
      </c>
    </row>
    <row r="864" spans="1:33" s="519" customFormat="1" x14ac:dyDescent="0.2">
      <c r="A864" s="709" t="s">
        <v>652</v>
      </c>
      <c r="B864" s="704" t="s">
        <v>698</v>
      </c>
      <c r="C864" s="80">
        <f t="shared" ref="C864:C874" si="673">IF(C853&gt;0,C853/C$852,0.000001)</f>
        <v>4.1424138212976155E-7</v>
      </c>
      <c r="D864" s="80">
        <f t="shared" ref="D864:AF873" si="674">IF(D853&gt;0,D853/D$852,0.000001)</f>
        <v>6.530615975147997E-7</v>
      </c>
      <c r="E864" s="80">
        <f t="shared" si="674"/>
        <v>4.9089107707924688E-7</v>
      </c>
      <c r="F864" s="80">
        <f t="shared" si="674"/>
        <v>8.8496540849579314E-8</v>
      </c>
      <c r="G864" s="80">
        <f t="shared" si="674"/>
        <v>3.2848531519448977E-7</v>
      </c>
      <c r="H864" s="80">
        <f t="shared" si="674"/>
        <v>4.265174247134098E-7</v>
      </c>
      <c r="I864" s="80">
        <f t="shared" si="674"/>
        <v>6.6065863987623841E-7</v>
      </c>
      <c r="J864" s="80">
        <f t="shared" si="674"/>
        <v>4.0169915459923892E-7</v>
      </c>
      <c r="K864" s="80">
        <f t="shared" si="674"/>
        <v>9.4651979161817683E-6</v>
      </c>
      <c r="L864" s="80">
        <f t="shared" si="674"/>
        <v>5.5125676476526325E-6</v>
      </c>
      <c r="M864" s="80">
        <f t="shared" si="674"/>
        <v>1.5823846737322653E-5</v>
      </c>
      <c r="N864" s="80">
        <f t="shared" si="674"/>
        <v>6.6680810005955246E-6</v>
      </c>
      <c r="O864" s="80">
        <f t="shared" si="674"/>
        <v>4.5048226178913182E-6</v>
      </c>
      <c r="P864" s="80">
        <f t="shared" si="674"/>
        <v>1.2037502874833463E-5</v>
      </c>
      <c r="Q864" s="80">
        <f t="shared" si="674"/>
        <v>2.811134231957999E-4</v>
      </c>
      <c r="R864" s="80">
        <f t="shared" si="674"/>
        <v>1.1661498622485573E-5</v>
      </c>
      <c r="S864" s="80">
        <f t="shared" si="674"/>
        <v>2.4597767320051816E-5</v>
      </c>
      <c r="T864" s="80">
        <f t="shared" si="674"/>
        <v>2.7646787157683584E-5</v>
      </c>
      <c r="U864" s="80">
        <f t="shared" si="674"/>
        <v>3.4736082519187305E-5</v>
      </c>
      <c r="V864" s="80">
        <f t="shared" si="674"/>
        <v>1.0588258806690106E-4</v>
      </c>
      <c r="W864" s="80">
        <f t="shared" si="674"/>
        <v>3.0913869019299826E-5</v>
      </c>
      <c r="X864" s="80">
        <f t="shared" si="674"/>
        <v>1.5554949813548261E-5</v>
      </c>
      <c r="Y864" s="80">
        <f t="shared" si="674"/>
        <v>1.8657434857024668E-5</v>
      </c>
      <c r="Z864" s="80">
        <f t="shared" si="674"/>
        <v>7.1090341222967578E-5</v>
      </c>
      <c r="AA864" s="80">
        <f t="shared" si="674"/>
        <v>2.269404504635326E-9</v>
      </c>
      <c r="AB864" s="80">
        <f t="shared" si="674"/>
        <v>4.3541007722674683E-9</v>
      </c>
      <c r="AC864" s="80">
        <f t="shared" si="674"/>
        <v>3.1021352887478716E-9</v>
      </c>
      <c r="AD864" s="80">
        <f t="shared" si="674"/>
        <v>7.5482644715948594E-10</v>
      </c>
      <c r="AE864" s="80">
        <f t="shared" si="674"/>
        <v>9.3659507145062975E-10</v>
      </c>
      <c r="AF864" s="80">
        <f t="shared" si="674"/>
        <v>1.3322057082569164E-9</v>
      </c>
    </row>
    <row r="865" spans="1:32" s="519" customFormat="1" x14ac:dyDescent="0.2">
      <c r="A865" s="709" t="s">
        <v>654</v>
      </c>
      <c r="B865" s="704" t="s">
        <v>714</v>
      </c>
      <c r="C865" s="80">
        <f t="shared" si="673"/>
        <v>2.5119238879786562E-2</v>
      </c>
      <c r="D865" s="80">
        <f t="shared" ref="D865:R865" si="675">IF(D854&gt;0,D854/D$852,0.000001)</f>
        <v>0.92115219101926582</v>
      </c>
      <c r="E865" s="80">
        <f t="shared" si="675"/>
        <v>0.57023027604006682</v>
      </c>
      <c r="F865" s="80">
        <f t="shared" si="675"/>
        <v>0.11313082295528139</v>
      </c>
      <c r="G865" s="80">
        <f t="shared" si="675"/>
        <v>0.25026742520850853</v>
      </c>
      <c r="H865" s="80">
        <f t="shared" si="675"/>
        <v>0.57845391701342064</v>
      </c>
      <c r="I865" s="80">
        <f t="shared" si="675"/>
        <v>0.45709381837119784</v>
      </c>
      <c r="J865" s="80">
        <f t="shared" si="675"/>
        <v>0.35999734231808839</v>
      </c>
      <c r="K865" s="80">
        <f t="shared" si="675"/>
        <v>1.4697759851442522E-3</v>
      </c>
      <c r="L865" s="80">
        <f t="shared" si="675"/>
        <v>9.7651486112363848E-4</v>
      </c>
      <c r="M865" s="80">
        <f t="shared" si="675"/>
        <v>4.8492974790042512E-4</v>
      </c>
      <c r="N865" s="80">
        <f t="shared" si="675"/>
        <v>9.3494813781345683E-4</v>
      </c>
      <c r="O865" s="80">
        <f t="shared" si="675"/>
        <v>1.8535862241187448E-3</v>
      </c>
      <c r="P865" s="80">
        <f t="shared" si="675"/>
        <v>8.8115222074941762E-4</v>
      </c>
      <c r="Q865" s="80">
        <f t="shared" si="675"/>
        <v>4.7737908476226991E-2</v>
      </c>
      <c r="R865" s="80">
        <f t="shared" si="675"/>
        <v>1.5969254104160818E-2</v>
      </c>
      <c r="S865" s="80">
        <f t="shared" si="674"/>
        <v>3.5426864211163832E-2</v>
      </c>
      <c r="T865" s="80">
        <f t="shared" si="674"/>
        <v>8.973507294123434E-2</v>
      </c>
      <c r="U865" s="80">
        <f t="shared" si="674"/>
        <v>0.29415605444658094</v>
      </c>
      <c r="V865" s="80">
        <f t="shared" si="674"/>
        <v>0.53944893445488296</v>
      </c>
      <c r="W865" s="80">
        <f t="shared" si="674"/>
        <v>0.71890626337935737</v>
      </c>
      <c r="X865" s="80">
        <f t="shared" si="674"/>
        <v>1.9186188007645044E-2</v>
      </c>
      <c r="Y865" s="80">
        <f t="shared" si="674"/>
        <v>4.0300326938831496E-2</v>
      </c>
      <c r="Z865" s="80">
        <f t="shared" si="674"/>
        <v>0.21888668794318725</v>
      </c>
      <c r="AA865" s="80">
        <f t="shared" si="674"/>
        <v>1.4737620504704562E-7</v>
      </c>
      <c r="AB865" s="80">
        <f t="shared" si="674"/>
        <v>2.5727003329158812E-7</v>
      </c>
      <c r="AC865" s="80">
        <f t="shared" si="674"/>
        <v>7.0521750593862401E-7</v>
      </c>
      <c r="AD865" s="80">
        <f t="shared" si="674"/>
        <v>8.0465570038331592E-8</v>
      </c>
      <c r="AE865" s="80">
        <f t="shared" si="674"/>
        <v>6.022889518150028E-8</v>
      </c>
      <c r="AF865" s="80">
        <f t="shared" si="674"/>
        <v>1.0498727466451233E-7</v>
      </c>
    </row>
    <row r="866" spans="1:32" s="519" customFormat="1" x14ac:dyDescent="0.2">
      <c r="A866" s="709" t="s">
        <v>656</v>
      </c>
      <c r="B866" s="704" t="s">
        <v>699</v>
      </c>
      <c r="C866" s="80">
        <f t="shared" si="673"/>
        <v>0.11520622193888971</v>
      </c>
      <c r="D866" s="80">
        <f t="shared" si="674"/>
        <v>5.063919523185733E-2</v>
      </c>
      <c r="E866" s="80">
        <f t="shared" si="674"/>
        <v>0.11265106096791799</v>
      </c>
      <c r="F866" s="80">
        <f t="shared" si="674"/>
        <v>7.1555342156910756E-2</v>
      </c>
      <c r="G866" s="80">
        <f t="shared" si="674"/>
        <v>0.17409219901036901</v>
      </c>
      <c r="H866" s="80">
        <f t="shared" si="674"/>
        <v>8.5406240515593729E-2</v>
      </c>
      <c r="I866" s="80">
        <f t="shared" si="674"/>
        <v>0.16901578418143262</v>
      </c>
      <c r="J866" s="80">
        <f t="shared" si="674"/>
        <v>8.9967247264560068E-2</v>
      </c>
      <c r="K866" s="80">
        <f t="shared" si="674"/>
        <v>0.15854555501063386</v>
      </c>
      <c r="L866" s="80">
        <f t="shared" si="674"/>
        <v>0.25377422975239644</v>
      </c>
      <c r="M866" s="80">
        <f t="shared" si="674"/>
        <v>0.18056032501831951</v>
      </c>
      <c r="N866" s="80">
        <f t="shared" si="674"/>
        <v>0.21240175109474299</v>
      </c>
      <c r="O866" s="80">
        <f t="shared" si="674"/>
        <v>0.12119946457963107</v>
      </c>
      <c r="P866" s="80">
        <f t="shared" si="674"/>
        <v>0.23823482121889139</v>
      </c>
      <c r="Q866" s="80">
        <f t="shared" si="674"/>
        <v>0.38295599034134992</v>
      </c>
      <c r="R866" s="80">
        <f t="shared" si="674"/>
        <v>0.32237922315722639</v>
      </c>
      <c r="S866" s="80">
        <f t="shared" si="674"/>
        <v>0.32945151391262789</v>
      </c>
      <c r="T866" s="80">
        <f t="shared" si="674"/>
        <v>0.35655804605371266</v>
      </c>
      <c r="U866" s="80">
        <f t="shared" si="674"/>
        <v>0.17253704268110728</v>
      </c>
      <c r="V866" s="80">
        <f t="shared" si="674"/>
        <v>0.1193444739782971</v>
      </c>
      <c r="W866" s="80">
        <f t="shared" si="674"/>
        <v>4.8445267898212123E-2</v>
      </c>
      <c r="X866" s="80">
        <f t="shared" si="674"/>
        <v>0.17315030138564691</v>
      </c>
      <c r="Y866" s="80">
        <f t="shared" si="674"/>
        <v>0.22295341943839256</v>
      </c>
      <c r="Z866" s="80">
        <f t="shared" si="674"/>
        <v>0.16597134819411605</v>
      </c>
      <c r="AA866" s="80">
        <f t="shared" si="674"/>
        <v>2.8234338268462992E-4</v>
      </c>
      <c r="AB866" s="80">
        <f t="shared" si="674"/>
        <v>3.2457443555451232E-4</v>
      </c>
      <c r="AC866" s="80">
        <f t="shared" si="674"/>
        <v>5.9830651784278607E-4</v>
      </c>
      <c r="AD866" s="80">
        <f t="shared" si="674"/>
        <v>2.9987510153689712E-4</v>
      </c>
      <c r="AE866" s="80">
        <f t="shared" si="674"/>
        <v>2.872713370276609E-4</v>
      </c>
      <c r="AF866" s="80">
        <f t="shared" si="674"/>
        <v>6.4518568067023247E-4</v>
      </c>
    </row>
    <row r="867" spans="1:32" s="519" customFormat="1" x14ac:dyDescent="0.2">
      <c r="A867" s="709" t="s">
        <v>664</v>
      </c>
      <c r="B867" s="704" t="s">
        <v>704</v>
      </c>
      <c r="C867" s="80">
        <f t="shared" si="673"/>
        <v>0.26552678370909433</v>
      </c>
      <c r="D867" s="80">
        <f t="shared" si="674"/>
        <v>8.4708542325305312E-3</v>
      </c>
      <c r="E867" s="80">
        <f t="shared" si="674"/>
        <v>9.229691396932356E-2</v>
      </c>
      <c r="F867" s="80">
        <f t="shared" si="674"/>
        <v>0.22066811614045662</v>
      </c>
      <c r="G867" s="80">
        <f t="shared" si="674"/>
        <v>0.16575446733848928</v>
      </c>
      <c r="H867" s="80">
        <f t="shared" si="674"/>
        <v>9.6301715561304277E-2</v>
      </c>
      <c r="I867" s="80">
        <f t="shared" si="674"/>
        <v>0.1077454428952606</v>
      </c>
      <c r="J867" s="80">
        <f t="shared" si="674"/>
        <v>0.15572416059167368</v>
      </c>
      <c r="K867" s="80">
        <f t="shared" si="674"/>
        <v>0.2678403959238681</v>
      </c>
      <c r="L867" s="80">
        <f t="shared" si="674"/>
        <v>0.13201757741454842</v>
      </c>
      <c r="M867" s="80">
        <f t="shared" si="674"/>
        <v>0.13475754897704023</v>
      </c>
      <c r="N867" s="80">
        <f t="shared" si="674"/>
        <v>0.17691128217798127</v>
      </c>
      <c r="O867" s="80">
        <f t="shared" si="674"/>
        <v>6.9782280858084758E-2</v>
      </c>
      <c r="P867" s="80">
        <f t="shared" si="674"/>
        <v>0.1320059912367991</v>
      </c>
      <c r="Q867" s="80">
        <f t="shared" si="674"/>
        <v>3.4599648711624839E-2</v>
      </c>
      <c r="R867" s="80">
        <f t="shared" si="674"/>
        <v>3.0996939410950883E-3</v>
      </c>
      <c r="S867" s="80">
        <f t="shared" si="674"/>
        <v>2.7629923574177136E-3</v>
      </c>
      <c r="T867" s="80">
        <f t="shared" si="674"/>
        <v>2.9683041151484014E-3</v>
      </c>
      <c r="U867" s="80">
        <f t="shared" si="674"/>
        <v>3.2745127166626219E-3</v>
      </c>
      <c r="V867" s="80">
        <f t="shared" si="674"/>
        <v>1.6709173912802793E-3</v>
      </c>
      <c r="W867" s="80">
        <f t="shared" si="674"/>
        <v>8.0531668209297264E-4</v>
      </c>
      <c r="X867" s="80">
        <f t="shared" si="674"/>
        <v>3.5147990851696451E-3</v>
      </c>
      <c r="Y867" s="80">
        <f t="shared" si="674"/>
        <v>3.9032892935661765E-3</v>
      </c>
      <c r="Z867" s="80">
        <f t="shared" si="674"/>
        <v>2.6033233697125716E-3</v>
      </c>
      <c r="AA867" s="80">
        <f t="shared" si="674"/>
        <v>0.99943874087752449</v>
      </c>
      <c r="AB867" s="80">
        <f t="shared" si="674"/>
        <v>0.99950998487669718</v>
      </c>
      <c r="AC867" s="80">
        <f t="shared" si="674"/>
        <v>0.9988169025809458</v>
      </c>
      <c r="AD867" s="80">
        <f t="shared" si="674"/>
        <v>0.99919803436084154</v>
      </c>
      <c r="AE867" s="80">
        <f t="shared" si="674"/>
        <v>0.99919590418152071</v>
      </c>
      <c r="AF867" s="80">
        <f t="shared" si="674"/>
        <v>0.99813826404884487</v>
      </c>
    </row>
    <row r="868" spans="1:32" s="519" customFormat="1" x14ac:dyDescent="0.2">
      <c r="A868" s="709" t="s">
        <v>666</v>
      </c>
      <c r="B868" s="704" t="s">
        <v>700</v>
      </c>
      <c r="C868" s="80">
        <f t="shared" si="673"/>
        <v>1.9422117180397621E-3</v>
      </c>
      <c r="D868" s="80">
        <f t="shared" si="674"/>
        <v>2.0038038510257928E-4</v>
      </c>
      <c r="E868" s="80">
        <f t="shared" si="674"/>
        <v>6.8540956366221618E-4</v>
      </c>
      <c r="F868" s="80">
        <f t="shared" si="674"/>
        <v>1.6440323072567203E-4</v>
      </c>
      <c r="G868" s="80">
        <f t="shared" si="674"/>
        <v>1.9798438585706075E-4</v>
      </c>
      <c r="H868" s="80">
        <f t="shared" si="674"/>
        <v>3.6699049622268635E-4</v>
      </c>
      <c r="I868" s="80">
        <f t="shared" si="674"/>
        <v>6.5563523031856479E-4</v>
      </c>
      <c r="J868" s="80">
        <f t="shared" si="674"/>
        <v>8.1869190091054438E-4</v>
      </c>
      <c r="K868" s="80">
        <f t="shared" si="674"/>
        <v>1.5734093566127979E-2</v>
      </c>
      <c r="L868" s="80">
        <f t="shared" si="674"/>
        <v>1.7022885877447196E-2</v>
      </c>
      <c r="M868" s="80">
        <f t="shared" si="674"/>
        <v>1.9025813845385226E-2</v>
      </c>
      <c r="N868" s="80">
        <f t="shared" si="674"/>
        <v>1.6928866566763085E-2</v>
      </c>
      <c r="O868" s="80">
        <f t="shared" si="674"/>
        <v>2.250113951542226E-2</v>
      </c>
      <c r="P868" s="80">
        <f t="shared" si="674"/>
        <v>1.7508405832483902E-2</v>
      </c>
      <c r="Q868" s="80">
        <f t="shared" si="674"/>
        <v>1.4867794587611479E-2</v>
      </c>
      <c r="R868" s="80">
        <f t="shared" si="674"/>
        <v>1.8792978290157775E-2</v>
      </c>
      <c r="S868" s="80">
        <f t="shared" si="674"/>
        <v>1.7959088021631649E-2</v>
      </c>
      <c r="T868" s="80">
        <f t="shared" si="674"/>
        <v>1.5485752298151086E-2</v>
      </c>
      <c r="U868" s="80">
        <f t="shared" si="674"/>
        <v>1.481481131841785E-2</v>
      </c>
      <c r="V868" s="80">
        <f t="shared" si="674"/>
        <v>9.774085159636979E-3</v>
      </c>
      <c r="W868" s="80">
        <f t="shared" si="674"/>
        <v>6.6451849322653892E-3</v>
      </c>
      <c r="X868" s="80">
        <f t="shared" si="674"/>
        <v>2.2483948563451785E-2</v>
      </c>
      <c r="Y868" s="80">
        <f t="shared" si="674"/>
        <v>2.0476562521699663E-2</v>
      </c>
      <c r="Z868" s="80">
        <f t="shared" si="674"/>
        <v>1.7284184059333081E-2</v>
      </c>
      <c r="AA868" s="80">
        <f t="shared" si="674"/>
        <v>6.0580815462702318E-8</v>
      </c>
      <c r="AB868" s="80">
        <f t="shared" si="674"/>
        <v>4.1208972485014672E-8</v>
      </c>
      <c r="AC868" s="80">
        <f t="shared" si="674"/>
        <v>1.883823776075425E-7</v>
      </c>
      <c r="AD868" s="80">
        <f t="shared" si="674"/>
        <v>3.1457947031098334E-8</v>
      </c>
      <c r="AE868" s="80">
        <f t="shared" si="674"/>
        <v>3.7416045890986572E-8</v>
      </c>
      <c r="AF868" s="80">
        <f t="shared" si="674"/>
        <v>3.7019712066791682E-8</v>
      </c>
    </row>
    <row r="869" spans="1:32" s="519" customFormat="1" x14ac:dyDescent="0.2">
      <c r="A869" s="709" t="s">
        <v>668</v>
      </c>
      <c r="B869" s="704" t="s">
        <v>701</v>
      </c>
      <c r="C869" s="80">
        <f t="shared" si="673"/>
        <v>6.8870045887436893E-2</v>
      </c>
      <c r="D869" s="80">
        <f t="shared" si="674"/>
        <v>4.7645339725688862E-3</v>
      </c>
      <c r="E869" s="80">
        <f t="shared" si="674"/>
        <v>2.2479417648423178E-2</v>
      </c>
      <c r="F869" s="80">
        <f t="shared" si="674"/>
        <v>5.9005472026040142E-3</v>
      </c>
      <c r="G869" s="80">
        <f t="shared" si="674"/>
        <v>5.4914823997803423E-3</v>
      </c>
      <c r="H869" s="80">
        <f t="shared" si="674"/>
        <v>1.2976705533018837E-2</v>
      </c>
      <c r="I869" s="80">
        <f t="shared" si="674"/>
        <v>2.2193607010861375E-2</v>
      </c>
      <c r="J869" s="80">
        <f t="shared" si="674"/>
        <v>3.2216067484109247E-2</v>
      </c>
      <c r="K869" s="80">
        <f t="shared" si="674"/>
        <v>0.54797464133770812</v>
      </c>
      <c r="L869" s="80">
        <f t="shared" si="674"/>
        <v>0.59293126204784186</v>
      </c>
      <c r="M869" s="80">
        <f t="shared" si="674"/>
        <v>0.66251453649091396</v>
      </c>
      <c r="N869" s="80">
        <f t="shared" si="674"/>
        <v>0.5891757355594105</v>
      </c>
      <c r="O869" s="80">
        <f t="shared" si="674"/>
        <v>0.78279975753800946</v>
      </c>
      <c r="P869" s="80">
        <f t="shared" si="674"/>
        <v>0.60773838093607324</v>
      </c>
      <c r="Q869" s="80">
        <f t="shared" si="674"/>
        <v>0.51222312240306378</v>
      </c>
      <c r="R869" s="80">
        <f t="shared" si="674"/>
        <v>0.63843038590011369</v>
      </c>
      <c r="S869" s="80">
        <f t="shared" si="674"/>
        <v>0.61309020514263268</v>
      </c>
      <c r="T869" s="80">
        <f t="shared" si="674"/>
        <v>0.53156244552170739</v>
      </c>
      <c r="U869" s="80">
        <f t="shared" si="674"/>
        <v>0.5109065729906499</v>
      </c>
      <c r="V869" s="80">
        <f t="shared" si="674"/>
        <v>0.32719171044682721</v>
      </c>
      <c r="W869" s="80">
        <f t="shared" si="674"/>
        <v>0.22313824797168952</v>
      </c>
      <c r="X869" s="80">
        <f t="shared" si="674"/>
        <v>0.77985849317154265</v>
      </c>
      <c r="Y869" s="80">
        <f t="shared" si="674"/>
        <v>0.71080647037582967</v>
      </c>
      <c r="Z869" s="80">
        <f t="shared" si="674"/>
        <v>0.59230738590454979</v>
      </c>
      <c r="AA869" s="80">
        <f t="shared" si="674"/>
        <v>1.8209120464220948E-4</v>
      </c>
      <c r="AB869" s="80">
        <f t="shared" si="674"/>
        <v>1.2022601404411026E-4</v>
      </c>
      <c r="AC869" s="80">
        <f t="shared" si="674"/>
        <v>5.4857918008237869E-4</v>
      </c>
      <c r="AD869" s="80">
        <f t="shared" si="674"/>
        <v>9.0986224860007959E-5</v>
      </c>
      <c r="AE869" s="80">
        <f t="shared" si="674"/>
        <v>1.1280564854350395E-4</v>
      </c>
      <c r="AF869" s="80">
        <f t="shared" si="674"/>
        <v>1.0717003233121253E-4</v>
      </c>
    </row>
    <row r="870" spans="1:32" s="519" customFormat="1" x14ac:dyDescent="0.2">
      <c r="A870" s="709" t="s">
        <v>670</v>
      </c>
      <c r="B870" s="704" t="s">
        <v>715</v>
      </c>
      <c r="C870" s="80">
        <f t="shared" si="673"/>
        <v>0.49275764953407708</v>
      </c>
      <c r="D870" s="80">
        <f t="shared" si="674"/>
        <v>1.4580533755891226E-2</v>
      </c>
      <c r="E870" s="80">
        <f t="shared" si="674"/>
        <v>0.19233328227223453</v>
      </c>
      <c r="F870" s="80">
        <f t="shared" si="674"/>
        <v>0.55454917359666289</v>
      </c>
      <c r="G870" s="80">
        <f t="shared" si="674"/>
        <v>0.39466081047276874</v>
      </c>
      <c r="H870" s="80">
        <f t="shared" si="674"/>
        <v>0.21368138198021486</v>
      </c>
      <c r="I870" s="80">
        <f t="shared" si="674"/>
        <v>0.2310765448913833</v>
      </c>
      <c r="J870" s="80">
        <f t="shared" si="674"/>
        <v>0.33511560010995511</v>
      </c>
      <c r="K870" s="80">
        <f t="shared" si="674"/>
        <v>9.9999999999999995E-7</v>
      </c>
      <c r="L870" s="80">
        <f t="shared" si="674"/>
        <v>9.9999999999999995E-7</v>
      </c>
      <c r="M870" s="80">
        <f t="shared" si="674"/>
        <v>9.9999999999999995E-7</v>
      </c>
      <c r="N870" s="80">
        <f t="shared" si="674"/>
        <v>9.9999999999999995E-7</v>
      </c>
      <c r="O870" s="80">
        <f t="shared" si="674"/>
        <v>9.9999999999999995E-7</v>
      </c>
      <c r="P870" s="80">
        <f t="shared" si="674"/>
        <v>9.9999999999999995E-7</v>
      </c>
      <c r="Q870" s="80">
        <f t="shared" si="674"/>
        <v>9.9999999999999995E-7</v>
      </c>
      <c r="R870" s="80">
        <f t="shared" si="674"/>
        <v>9.9999999999999995E-7</v>
      </c>
      <c r="S870" s="80">
        <f t="shared" si="674"/>
        <v>1.5991015776332335E-5</v>
      </c>
      <c r="T870" s="80">
        <f t="shared" si="674"/>
        <v>1.3232369221084226E-3</v>
      </c>
      <c r="U870" s="80">
        <f t="shared" si="674"/>
        <v>2.3375598342257938E-3</v>
      </c>
      <c r="V870" s="80">
        <f t="shared" si="674"/>
        <v>9.9999999999999995E-7</v>
      </c>
      <c r="W870" s="80">
        <f t="shared" si="674"/>
        <v>9.9999999999999995E-7</v>
      </c>
      <c r="X870" s="80">
        <f t="shared" si="674"/>
        <v>9.9999999999999995E-7</v>
      </c>
      <c r="Y870" s="80">
        <f t="shared" si="674"/>
        <v>6.8610471721362767E-4</v>
      </c>
      <c r="Z870" s="80">
        <f t="shared" si="674"/>
        <v>1.7825400210314107E-5</v>
      </c>
      <c r="AA870" s="80">
        <f t="shared" si="674"/>
        <v>5.1709405287526002E-5</v>
      </c>
      <c r="AB870" s="80">
        <f t="shared" si="674"/>
        <v>2.3114495561099893E-5</v>
      </c>
      <c r="AC870" s="80">
        <f t="shared" si="674"/>
        <v>8.8427366959887169E-6</v>
      </c>
      <c r="AD870" s="80">
        <f t="shared" si="674"/>
        <v>2.3226724428997204E-4</v>
      </c>
      <c r="AE870" s="80">
        <f t="shared" si="674"/>
        <v>2.2930015792883612E-4</v>
      </c>
      <c r="AF870" s="80">
        <f t="shared" si="674"/>
        <v>6.2893193284000923E-4</v>
      </c>
    </row>
    <row r="871" spans="1:32" s="519" customFormat="1" x14ac:dyDescent="0.2">
      <c r="A871" s="709" t="s">
        <v>672</v>
      </c>
      <c r="B871" s="704" t="s">
        <v>702</v>
      </c>
      <c r="C871" s="80">
        <f t="shared" si="673"/>
        <v>2.9174118324363431E-2</v>
      </c>
      <c r="D871" s="80">
        <f t="shared" si="674"/>
        <v>1.1754701703212528E-4</v>
      </c>
      <c r="E871" s="80">
        <f t="shared" si="674"/>
        <v>9.0185125632938744E-3</v>
      </c>
      <c r="F871" s="80">
        <f t="shared" si="674"/>
        <v>3.3927061309384887E-2</v>
      </c>
      <c r="G871" s="80">
        <f t="shared" si="674"/>
        <v>9.3625129843973275E-3</v>
      </c>
      <c r="H871" s="80">
        <f t="shared" si="674"/>
        <v>1.255331497709818E-2</v>
      </c>
      <c r="I871" s="80">
        <f t="shared" si="674"/>
        <v>1.1965779360864759E-2</v>
      </c>
      <c r="J871" s="80">
        <f t="shared" si="674"/>
        <v>2.5702835520746495E-2</v>
      </c>
      <c r="K871" s="80">
        <f t="shared" si="674"/>
        <v>9.9999999999999995E-7</v>
      </c>
      <c r="L871" s="80">
        <f t="shared" si="674"/>
        <v>5.2761076180867411E-38</v>
      </c>
      <c r="M871" s="80">
        <f t="shared" si="674"/>
        <v>6.1321443550757842E-38</v>
      </c>
      <c r="N871" s="80">
        <f t="shared" si="674"/>
        <v>3.9518399801956593E-38</v>
      </c>
      <c r="O871" s="80">
        <f t="shared" si="674"/>
        <v>8.9087003375546808E-38</v>
      </c>
      <c r="P871" s="80">
        <f t="shared" si="674"/>
        <v>8.6128199496593844E-38</v>
      </c>
      <c r="Q871" s="80">
        <f t="shared" si="674"/>
        <v>1.0935852247838434E-37</v>
      </c>
      <c r="R871" s="80">
        <f t="shared" si="674"/>
        <v>2.3536615368191594E-38</v>
      </c>
      <c r="S871" s="80">
        <f t="shared" si="674"/>
        <v>8.5012962607955092E-7</v>
      </c>
      <c r="T871" s="80">
        <f t="shared" si="674"/>
        <v>7.1496447361187179E-5</v>
      </c>
      <c r="U871" s="80">
        <f t="shared" si="674"/>
        <v>1.2803348563549221E-4</v>
      </c>
      <c r="V871" s="80">
        <f t="shared" si="674"/>
        <v>1.0371781375916785E-37</v>
      </c>
      <c r="W871" s="80">
        <f t="shared" si="674"/>
        <v>4.1845322528376993E-38</v>
      </c>
      <c r="X871" s="80">
        <f t="shared" si="674"/>
        <v>5.2376688282820128E-38</v>
      </c>
      <c r="Y871" s="80">
        <f t="shared" si="674"/>
        <v>3.8298323996142461E-5</v>
      </c>
      <c r="Z871" s="80">
        <f t="shared" si="674"/>
        <v>9.5842145441184786E-7</v>
      </c>
      <c r="AA871" s="80">
        <f t="shared" si="674"/>
        <v>3.8989471566069676E-5</v>
      </c>
      <c r="AB871" s="80">
        <f t="shared" si="674"/>
        <v>1.7459731068190208E-5</v>
      </c>
      <c r="AC871" s="80">
        <f t="shared" si="674"/>
        <v>6.6801856982699109E-6</v>
      </c>
      <c r="AD871" s="80">
        <f t="shared" si="674"/>
        <v>1.755368573837497E-4</v>
      </c>
      <c r="AE871" s="80">
        <f t="shared" si="674"/>
        <v>1.7286368063688991E-4</v>
      </c>
      <c r="AF871" s="80">
        <f t="shared" si="674"/>
        <v>4.7529154699128758E-4</v>
      </c>
    </row>
    <row r="872" spans="1:32" s="519" customFormat="1" x14ac:dyDescent="0.2">
      <c r="A872" s="709" t="s">
        <v>658</v>
      </c>
      <c r="B872" s="704" t="s">
        <v>707</v>
      </c>
      <c r="C872" s="80">
        <f t="shared" si="673"/>
        <v>5.5662820676803631E-5</v>
      </c>
      <c r="D872" s="80">
        <f t="shared" si="674"/>
        <v>2.9279307574244927E-6</v>
      </c>
      <c r="E872" s="80">
        <f t="shared" si="674"/>
        <v>1.2074788003422302E-5</v>
      </c>
      <c r="F872" s="80">
        <f t="shared" si="674"/>
        <v>4.1432796688130781E-6</v>
      </c>
      <c r="G872" s="80">
        <f t="shared" si="674"/>
        <v>6.8376051084311693E-6</v>
      </c>
      <c r="H872" s="80">
        <f t="shared" si="674"/>
        <v>1.0285222335409358E-5</v>
      </c>
      <c r="I872" s="80">
        <f t="shared" si="674"/>
        <v>1.0020241988909895E-5</v>
      </c>
      <c r="J872" s="80">
        <f t="shared" si="674"/>
        <v>1.8169511379770301E-5</v>
      </c>
      <c r="K872" s="80">
        <f t="shared" si="674"/>
        <v>1.0562572994381982E-4</v>
      </c>
      <c r="L872" s="80">
        <f t="shared" si="674"/>
        <v>4.1016488324686373E-5</v>
      </c>
      <c r="M872" s="80">
        <f t="shared" si="674"/>
        <v>3.3106908551586929E-5</v>
      </c>
      <c r="N872" s="80">
        <f t="shared" si="674"/>
        <v>4.5639896779684435E-5</v>
      </c>
      <c r="O872" s="80">
        <f t="shared" si="674"/>
        <v>2.3307784378117293E-5</v>
      </c>
      <c r="P872" s="80">
        <f t="shared" si="674"/>
        <v>4.5373675709635422E-5</v>
      </c>
      <c r="Q872" s="80">
        <f t="shared" si="674"/>
        <v>9.1972635940282239E-5</v>
      </c>
      <c r="R872" s="80">
        <f t="shared" si="674"/>
        <v>9.9999999999999995E-7</v>
      </c>
      <c r="S872" s="80">
        <f t="shared" si="674"/>
        <v>9.9999999999999995E-7</v>
      </c>
      <c r="T872" s="80">
        <f t="shared" si="674"/>
        <v>9.9999999999999995E-7</v>
      </c>
      <c r="U872" s="80">
        <f t="shared" si="674"/>
        <v>9.9999999999999995E-7</v>
      </c>
      <c r="V872" s="80">
        <f t="shared" si="674"/>
        <v>9.9999999999999995E-7</v>
      </c>
      <c r="W872" s="80">
        <f t="shared" si="674"/>
        <v>9.9999999999999995E-7</v>
      </c>
      <c r="X872" s="80">
        <f t="shared" si="674"/>
        <v>9.9999999999999995E-7</v>
      </c>
      <c r="Y872" s="80">
        <f t="shared" si="674"/>
        <v>9.9999999999999995E-7</v>
      </c>
      <c r="Z872" s="80">
        <f t="shared" si="674"/>
        <v>9.9999999999999995E-7</v>
      </c>
      <c r="AA872" s="80">
        <f t="shared" si="674"/>
        <v>2.3934632865089098E-7</v>
      </c>
      <c r="AB872" s="80">
        <f t="shared" si="674"/>
        <v>1.7551079752821707E-7</v>
      </c>
      <c r="AC872" s="80">
        <f t="shared" si="674"/>
        <v>8.008395986631749E-7</v>
      </c>
      <c r="AD872" s="80">
        <f t="shared" si="674"/>
        <v>1.2897671149712021E-7</v>
      </c>
      <c r="AE872" s="80">
        <f t="shared" si="674"/>
        <v>7.1066615397945783E-8</v>
      </c>
      <c r="AF872" s="80">
        <f t="shared" si="674"/>
        <v>2.0285712628359053E-7</v>
      </c>
    </row>
    <row r="873" spans="1:32" s="519" customFormat="1" x14ac:dyDescent="0.2">
      <c r="A873" s="709" t="s">
        <v>660</v>
      </c>
      <c r="B873" s="704" t="s">
        <v>716</v>
      </c>
      <c r="C873" s="80">
        <f t="shared" si="673"/>
        <v>1.1386212767456031E-10</v>
      </c>
      <c r="D873" s="80">
        <f t="shared" si="674"/>
        <v>5.5769579564231093E-12</v>
      </c>
      <c r="E873" s="80">
        <f t="shared" si="674"/>
        <v>2.4389904731689663E-11</v>
      </c>
      <c r="F873" s="80">
        <f t="shared" si="674"/>
        <v>8.4915103280112151E-12</v>
      </c>
      <c r="G873" s="80">
        <f t="shared" si="674"/>
        <v>1.3414266137490662E-11</v>
      </c>
      <c r="H873" s="80">
        <f t="shared" si="674"/>
        <v>2.1029749978592451E-11</v>
      </c>
      <c r="I873" s="80">
        <f t="shared" si="674"/>
        <v>2.034512599287593E-11</v>
      </c>
      <c r="J873" s="80">
        <f t="shared" si="674"/>
        <v>3.7765118801561267E-11</v>
      </c>
      <c r="K873" s="80">
        <f t="shared" si="674"/>
        <v>8.7469147904755854E-12</v>
      </c>
      <c r="L873" s="80">
        <f t="shared" si="674"/>
        <v>3.3966765044408355E-12</v>
      </c>
      <c r="M873" s="80">
        <f t="shared" ref="D873:AF874" si="676">IF(M862&gt;0,M862/M$852,0.000001)</f>
        <v>2.741513694116061E-12</v>
      </c>
      <c r="N873" s="80">
        <f t="shared" si="676"/>
        <v>3.7789326326273701E-12</v>
      </c>
      <c r="O873" s="80">
        <f t="shared" si="676"/>
        <v>1.9297059407011388E-12</v>
      </c>
      <c r="P873" s="80">
        <f t="shared" si="676"/>
        <v>3.7548935263671712E-12</v>
      </c>
      <c r="Q873" s="80">
        <f t="shared" si="676"/>
        <v>7.5996711095955979E-12</v>
      </c>
      <c r="R873" s="80">
        <f t="shared" si="676"/>
        <v>3.366285560671424E-12</v>
      </c>
      <c r="S873" s="80">
        <f t="shared" si="676"/>
        <v>3.2439794441254394E-12</v>
      </c>
      <c r="T873" s="80">
        <f t="shared" si="676"/>
        <v>5.8082320600739582E-12</v>
      </c>
      <c r="U873" s="80">
        <f t="shared" si="676"/>
        <v>4.6407354614873238E-12</v>
      </c>
      <c r="V873" s="80">
        <f t="shared" si="676"/>
        <v>6.2830119441522889E-12</v>
      </c>
      <c r="W873" s="80">
        <f t="shared" si="676"/>
        <v>5.1760713133575045E-12</v>
      </c>
      <c r="X873" s="80">
        <f t="shared" si="676"/>
        <v>4.5940615181147489E-12</v>
      </c>
      <c r="Y873" s="80">
        <f t="shared" si="676"/>
        <v>2.0959618340672531E-12</v>
      </c>
      <c r="Z873" s="80">
        <f t="shared" si="676"/>
        <v>7.3150556713116873E-12</v>
      </c>
      <c r="AA873" s="80">
        <f t="shared" si="676"/>
        <v>6.7414718870327486E-13</v>
      </c>
      <c r="AB873" s="80">
        <f t="shared" si="676"/>
        <v>4.9455968551753381E-13</v>
      </c>
      <c r="AC873" s="80">
        <f t="shared" si="676"/>
        <v>2.2566913358884483E-12</v>
      </c>
      <c r="AD873" s="80">
        <f t="shared" si="676"/>
        <v>3.6348039313388677E-13</v>
      </c>
      <c r="AE873" s="80">
        <f t="shared" si="676"/>
        <v>2.0015880515109078E-13</v>
      </c>
      <c r="AF873" s="80">
        <f t="shared" si="676"/>
        <v>5.7168156791705976E-13</v>
      </c>
    </row>
    <row r="874" spans="1:32" s="519" customFormat="1" x14ac:dyDescent="0.2">
      <c r="A874" s="709" t="s">
        <v>662</v>
      </c>
      <c r="B874" s="704" t="s">
        <v>708</v>
      </c>
      <c r="C874" s="80">
        <f t="shared" si="673"/>
        <v>1.3476528323911482E-3</v>
      </c>
      <c r="D874" s="80">
        <f t="shared" si="676"/>
        <v>7.1183387819558856E-5</v>
      </c>
      <c r="E874" s="80">
        <f t="shared" si="676"/>
        <v>2.9256127160771624E-4</v>
      </c>
      <c r="F874" s="80">
        <f t="shared" si="676"/>
        <v>1.0030162327259316E-4</v>
      </c>
      <c r="G874" s="80">
        <f t="shared" si="676"/>
        <v>1.659520959917493E-4</v>
      </c>
      <c r="H874" s="80">
        <f t="shared" si="676"/>
        <v>2.4902216233691648E-4</v>
      </c>
      <c r="I874" s="80">
        <f t="shared" si="676"/>
        <v>2.4270713770732939E-4</v>
      </c>
      <c r="J874" s="80">
        <f t="shared" si="676"/>
        <v>4.3948356165695283E-4</v>
      </c>
      <c r="K874" s="80">
        <f t="shared" si="676"/>
        <v>8.3204472399108134E-3</v>
      </c>
      <c r="L874" s="80">
        <f t="shared" si="676"/>
        <v>3.2310009872734149E-3</v>
      </c>
      <c r="M874" s="80">
        <f t="shared" si="676"/>
        <v>2.6079151624101679E-3</v>
      </c>
      <c r="N874" s="80">
        <f t="shared" si="676"/>
        <v>3.5951084817293756E-3</v>
      </c>
      <c r="O874" s="80">
        <f t="shared" si="676"/>
        <v>1.835958675808033E-3</v>
      </c>
      <c r="P874" s="80">
        <f t="shared" si="676"/>
        <v>3.5738373726636511E-3</v>
      </c>
      <c r="Q874" s="80">
        <f t="shared" si="676"/>
        <v>7.2424494133872521E-3</v>
      </c>
      <c r="R874" s="80">
        <f t="shared" si="676"/>
        <v>1.316803105257504E-3</v>
      </c>
      <c r="S874" s="80">
        <f t="shared" si="676"/>
        <v>1.2678974385597261E-3</v>
      </c>
      <c r="T874" s="80">
        <f t="shared" si="676"/>
        <v>2.2679989076105846E-3</v>
      </c>
      <c r="U874" s="80">
        <f t="shared" si="676"/>
        <v>1.8106764395599741E-3</v>
      </c>
      <c r="V874" s="80">
        <f t="shared" si="676"/>
        <v>2.4639959747256709E-3</v>
      </c>
      <c r="W874" s="80">
        <f t="shared" si="676"/>
        <v>2.0288052621874196E-3</v>
      </c>
      <c r="X874" s="80">
        <f t="shared" si="676"/>
        <v>1.7907148321362511E-3</v>
      </c>
      <c r="Y874" s="80">
        <f t="shared" si="676"/>
        <v>8.1687095351756702E-4</v>
      </c>
      <c r="Z874" s="80">
        <f t="shared" si="676"/>
        <v>2.8571963588984207E-3</v>
      </c>
      <c r="AA874" s="80">
        <f t="shared" si="676"/>
        <v>5.6760848673603405E-6</v>
      </c>
      <c r="AB874" s="80">
        <f t="shared" si="676"/>
        <v>4.1621026763215289E-6</v>
      </c>
      <c r="AC874" s="80">
        <f t="shared" si="676"/>
        <v>1.8991254860677909E-5</v>
      </c>
      <c r="AD874" s="80">
        <f t="shared" si="676"/>
        <v>3.0585556693281112E-6</v>
      </c>
      <c r="AE874" s="80">
        <f t="shared" si="676"/>
        <v>1.6853459907600651E-6</v>
      </c>
      <c r="AF874" s="80">
        <f t="shared" si="676"/>
        <v>4.8105614322271141E-6</v>
      </c>
    </row>
    <row r="876" spans="1:32" x14ac:dyDescent="0.2">
      <c r="A876" s="700" t="s">
        <v>639</v>
      </c>
    </row>
    <row r="877" spans="1:32" x14ac:dyDescent="0.2">
      <c r="A877" s="6">
        <v>1.0000000000000001E-5</v>
      </c>
      <c r="C877" s="706">
        <f t="shared" ref="C877:F896" si="677" xml:space="preserve"> C$82 + ((C$83 / 200 * C$82) - $A877 * 0.1 * (C$83 / 200 * C$82))</f>
        <v>8.6961764949364057E-2</v>
      </c>
      <c r="D877" s="706">
        <f t="shared" si="677"/>
        <v>0.11643769471076298</v>
      </c>
      <c r="E877" s="706">
        <f t="shared" si="677"/>
        <v>0.1012776318607307</v>
      </c>
      <c r="F877" s="706">
        <f t="shared" si="677"/>
        <v>0.10291064644101514</v>
      </c>
      <c r="G877" s="706">
        <f t="shared" ref="G877:AF887" si="678" xml:space="preserve"> G$82 + ((G$83 / 200 * G$82) - $A877 * 0.1 * (G$83 / 200 * G$82))</f>
        <v>7.8389217466462033E-2</v>
      </c>
      <c r="H877" s="706">
        <f t="shared" si="678"/>
        <v>0.12393619996596845</v>
      </c>
      <c r="I877" s="706">
        <f t="shared" si="678"/>
        <v>9.5874912885340724E-2</v>
      </c>
      <c r="J877" s="706">
        <f t="shared" si="678"/>
        <v>0.11741203620559887</v>
      </c>
      <c r="K877" s="706">
        <f t="shared" si="678"/>
        <v>4.5067183757384749E-2</v>
      </c>
      <c r="L877" s="706">
        <f t="shared" si="678"/>
        <v>4.5090503812407569E-2</v>
      </c>
      <c r="M877" s="706">
        <f t="shared" si="678"/>
        <v>4.507049244348011E-2</v>
      </c>
      <c r="N877" s="706">
        <f t="shared" si="678"/>
        <v>4.5022831474574775E-2</v>
      </c>
      <c r="O877" s="706">
        <f t="shared" si="678"/>
        <v>4.5045069426957907E-2</v>
      </c>
      <c r="P877" s="706">
        <f t="shared" si="678"/>
        <v>4.4854782172103064E-2</v>
      </c>
      <c r="Q877" s="706">
        <f t="shared" si="678"/>
        <v>4.4514426585693011E-2</v>
      </c>
      <c r="R877" s="706">
        <f t="shared" si="678"/>
        <v>2.7982044888677941E-2</v>
      </c>
      <c r="S877" s="706">
        <f t="shared" si="678"/>
        <v>2.8212294081207637E-2</v>
      </c>
      <c r="T877" s="706">
        <f t="shared" si="678"/>
        <v>2.8361573105969991E-2</v>
      </c>
      <c r="U877" s="706">
        <f t="shared" si="678"/>
        <v>2.8865745109602527E-2</v>
      </c>
      <c r="V877" s="706">
        <f t="shared" si="678"/>
        <v>2.79732160875906E-2</v>
      </c>
      <c r="W877" s="706">
        <f t="shared" si="678"/>
        <v>2.9080148235426085E-2</v>
      </c>
      <c r="X877" s="706">
        <f t="shared" si="678"/>
        <v>2.8890110294631684E-2</v>
      </c>
      <c r="Y877" s="706">
        <f t="shared" si="678"/>
        <v>2.9009092350575031E-2</v>
      </c>
      <c r="Z877" s="706">
        <f t="shared" si="678"/>
        <v>2.851735127395669E-2</v>
      </c>
      <c r="AA877" s="706">
        <f t="shared" si="678"/>
        <v>11.668783705857431</v>
      </c>
      <c r="AB877" s="706">
        <f t="shared" si="678"/>
        <v>11.710470564521875</v>
      </c>
      <c r="AC877" s="706">
        <f t="shared" si="678"/>
        <v>11.704868878444104</v>
      </c>
      <c r="AD877" s="706">
        <f t="shared" si="678"/>
        <v>11.712376811568783</v>
      </c>
      <c r="AE877" s="706">
        <f t="shared" si="678"/>
        <v>11.672811589046461</v>
      </c>
      <c r="AF877" s="706">
        <f t="shared" si="678"/>
        <v>11.710639964268335</v>
      </c>
    </row>
    <row r="878" spans="1:32" x14ac:dyDescent="0.2">
      <c r="A878" s="6">
        <v>0.4</v>
      </c>
      <c r="C878" s="706">
        <f t="shared" si="677"/>
        <v>8.6913504160117103E-2</v>
      </c>
      <c r="D878" s="706">
        <f t="shared" si="677"/>
        <v>0.11315006923588923</v>
      </c>
      <c r="E878" s="706">
        <f t="shared" si="677"/>
        <v>0.10054126199317759</v>
      </c>
      <c r="F878" s="706">
        <f t="shared" si="677"/>
        <v>0.10206116898379732</v>
      </c>
      <c r="G878" s="706">
        <f t="shared" ref="G878:R878" si="679" xml:space="preserve"> G$82 + ((G$83 / 200 * G$82) - $A878 * 0.1 * (G$83 / 200 * G$82))</f>
        <v>7.7685262050153692E-2</v>
      </c>
      <c r="H878" s="706">
        <f t="shared" si="679"/>
        <v>0.1229206835355461</v>
      </c>
      <c r="I878" s="706">
        <f t="shared" si="679"/>
        <v>9.5412633687308512E-2</v>
      </c>
      <c r="J878" s="706">
        <f t="shared" si="679"/>
        <v>0.11694767403715162</v>
      </c>
      <c r="K878" s="706">
        <f t="shared" si="679"/>
        <v>4.5065366696001134E-2</v>
      </c>
      <c r="L878" s="706">
        <f t="shared" si="679"/>
        <v>4.5087739724073095E-2</v>
      </c>
      <c r="M878" s="706">
        <f t="shared" si="679"/>
        <v>4.5067711898923175E-2</v>
      </c>
      <c r="N878" s="706">
        <f t="shared" si="679"/>
        <v>4.5020549060508064E-2</v>
      </c>
      <c r="O878" s="706">
        <f t="shared" si="679"/>
        <v>4.5040043811954505E-2</v>
      </c>
      <c r="P878" s="706">
        <f t="shared" si="679"/>
        <v>4.4851979696565167E-2</v>
      </c>
      <c r="Q878" s="706">
        <f t="shared" si="679"/>
        <v>4.4503435767799131E-2</v>
      </c>
      <c r="R878" s="706">
        <f t="shared" si="679"/>
        <v>2.7969808944514139E-2</v>
      </c>
      <c r="S878" s="706">
        <f t="shared" si="678"/>
        <v>2.8198897241935059E-2</v>
      </c>
      <c r="T878" s="706">
        <f t="shared" si="678"/>
        <v>2.8345534978859679E-2</v>
      </c>
      <c r="U878" s="706">
        <f t="shared" si="678"/>
        <v>2.883702125807704E-2</v>
      </c>
      <c r="V878" s="706">
        <f t="shared" si="678"/>
        <v>2.79270585862917E-2</v>
      </c>
      <c r="W878" s="706">
        <f t="shared" si="678"/>
        <v>2.8994827488576288E-2</v>
      </c>
      <c r="X878" s="706">
        <f t="shared" si="678"/>
        <v>2.8879227463056475E-2</v>
      </c>
      <c r="Y878" s="706">
        <f t="shared" si="678"/>
        <v>2.8989149601764505E-2</v>
      </c>
      <c r="Z878" s="706">
        <f t="shared" si="678"/>
        <v>2.8493046017978828E-2</v>
      </c>
      <c r="AA878" s="706">
        <f t="shared" si="678"/>
        <v>11.668572400390447</v>
      </c>
      <c r="AB878" s="706">
        <f t="shared" si="678"/>
        <v>11.710241848118914</v>
      </c>
      <c r="AC878" s="706">
        <f t="shared" si="678"/>
        <v>11.704662235991089</v>
      </c>
      <c r="AD878" s="706">
        <f t="shared" si="678"/>
        <v>11.712168537190275</v>
      </c>
      <c r="AE878" s="706">
        <f t="shared" si="678"/>
        <v>11.672593927577687</v>
      </c>
      <c r="AF878" s="706">
        <f t="shared" si="678"/>
        <v>11.710431136918837</v>
      </c>
    </row>
    <row r="879" spans="1:32" x14ac:dyDescent="0.2">
      <c r="A879" s="6">
        <v>0.8</v>
      </c>
      <c r="C879" s="706">
        <f t="shared" si="677"/>
        <v>8.6865242164320261E-2</v>
      </c>
      <c r="D879" s="706">
        <f t="shared" si="677"/>
        <v>0.10986236156832378</v>
      </c>
      <c r="E879" s="706">
        <f t="shared" si="677"/>
        <v>9.9804873715917522E-2</v>
      </c>
      <c r="F879" s="706">
        <f t="shared" si="677"/>
        <v>0.10121167028911213</v>
      </c>
      <c r="G879" s="706">
        <f t="shared" si="678"/>
        <v>7.6981289034519951E-2</v>
      </c>
      <c r="H879" s="706">
        <f t="shared" si="678"/>
        <v>0.12190514171657826</v>
      </c>
      <c r="I879" s="706">
        <f t="shared" si="678"/>
        <v>9.4950342932007395E-2</v>
      </c>
      <c r="J879" s="706">
        <f t="shared" si="678"/>
        <v>0.11648330025935993</v>
      </c>
      <c r="K879" s="706">
        <f t="shared" si="678"/>
        <v>4.5063549589189858E-2</v>
      </c>
      <c r="L879" s="706">
        <f t="shared" si="678"/>
        <v>4.5084975566634683E-2</v>
      </c>
      <c r="M879" s="706">
        <f t="shared" si="678"/>
        <v>4.5064931284850888E-2</v>
      </c>
      <c r="N879" s="706">
        <f t="shared" si="678"/>
        <v>4.5018266589379567E-2</v>
      </c>
      <c r="O879" s="706">
        <f t="shared" si="678"/>
        <v>4.5035018071307595E-2</v>
      </c>
      <c r="P879" s="706">
        <f t="shared" si="678"/>
        <v>4.4849177150963621E-2</v>
      </c>
      <c r="Q879" s="706">
        <f t="shared" si="678"/>
        <v>4.4492444675127939E-2</v>
      </c>
      <c r="R879" s="706">
        <f t="shared" si="678"/>
        <v>2.7957572694444082E-2</v>
      </c>
      <c r="S879" s="706">
        <f t="shared" si="678"/>
        <v>2.8185500067733127E-2</v>
      </c>
      <c r="T879" s="706">
        <f t="shared" si="678"/>
        <v>2.8329496450786168E-2</v>
      </c>
      <c r="U879" s="706">
        <f t="shared" si="678"/>
        <v>2.8808296688437315E-2</v>
      </c>
      <c r="V879" s="706">
        <f t="shared" si="678"/>
        <v>2.7880899931026416E-2</v>
      </c>
      <c r="W879" s="706">
        <f t="shared" si="678"/>
        <v>2.8909504608654494E-2</v>
      </c>
      <c r="X879" s="706">
        <f t="shared" si="678"/>
        <v>2.8868344359403678E-2</v>
      </c>
      <c r="Y879" s="706">
        <f t="shared" si="678"/>
        <v>2.8969206354372792E-2</v>
      </c>
      <c r="Z879" s="706">
        <f t="shared" si="678"/>
        <v>2.8468740154354379E-2</v>
      </c>
      <c r="AA879" s="706">
        <f t="shared" si="678"/>
        <v>11.668361089640694</v>
      </c>
      <c r="AB879" s="706">
        <f t="shared" si="678"/>
        <v>11.7100131259979</v>
      </c>
      <c r="AC879" s="706">
        <f t="shared" si="678"/>
        <v>11.70445558837188</v>
      </c>
      <c r="AD879" s="706">
        <f t="shared" si="678"/>
        <v>11.711960257604776</v>
      </c>
      <c r="AE879" s="706">
        <f t="shared" si="678"/>
        <v>11.672376260667239</v>
      </c>
      <c r="AF879" s="706">
        <f t="shared" si="678"/>
        <v>11.710222304348521</v>
      </c>
    </row>
    <row r="880" spans="1:32" x14ac:dyDescent="0.2">
      <c r="A880" s="6">
        <v>1.2</v>
      </c>
      <c r="C880" s="706">
        <f t="shared" si="677"/>
        <v>8.6816980168523405E-2</v>
      </c>
      <c r="D880" s="706">
        <f t="shared" si="677"/>
        <v>0.10657465390075833</v>
      </c>
      <c r="E880" s="706">
        <f t="shared" si="677"/>
        <v>9.9068485438657469E-2</v>
      </c>
      <c r="F880" s="706">
        <f t="shared" si="677"/>
        <v>0.10036217159442694</v>
      </c>
      <c r="G880" s="706">
        <f t="shared" si="678"/>
        <v>7.627731601888621E-2</v>
      </c>
      <c r="H880" s="706">
        <f t="shared" si="678"/>
        <v>0.12088959989761042</v>
      </c>
      <c r="I880" s="706">
        <f t="shared" si="678"/>
        <v>9.4488052176706291E-2</v>
      </c>
      <c r="J880" s="706">
        <f t="shared" si="678"/>
        <v>0.11601892648156825</v>
      </c>
      <c r="K880" s="706">
        <f t="shared" si="678"/>
        <v>4.5061732482378575E-2</v>
      </c>
      <c r="L880" s="706">
        <f t="shared" si="678"/>
        <v>4.5082211409196271E-2</v>
      </c>
      <c r="M880" s="706">
        <f t="shared" si="678"/>
        <v>4.5062150670778602E-2</v>
      </c>
      <c r="N880" s="706">
        <f t="shared" si="678"/>
        <v>4.5015984118251078E-2</v>
      </c>
      <c r="O880" s="706">
        <f t="shared" si="678"/>
        <v>4.5029992330660684E-2</v>
      </c>
      <c r="P880" s="706">
        <f t="shared" si="678"/>
        <v>4.4846374605362081E-2</v>
      </c>
      <c r="Q880" s="706">
        <f t="shared" si="678"/>
        <v>4.448145358245674E-2</v>
      </c>
      <c r="R880" s="706">
        <f t="shared" si="678"/>
        <v>2.7945336444374028E-2</v>
      </c>
      <c r="S880" s="706">
        <f t="shared" si="678"/>
        <v>2.8172102893531194E-2</v>
      </c>
      <c r="T880" s="706">
        <f t="shared" si="678"/>
        <v>2.8313457922712656E-2</v>
      </c>
      <c r="U880" s="706">
        <f t="shared" si="678"/>
        <v>2.877957211879759E-2</v>
      </c>
      <c r="V880" s="706">
        <f t="shared" si="678"/>
        <v>2.7834741275761132E-2</v>
      </c>
      <c r="W880" s="706">
        <f t="shared" si="678"/>
        <v>2.8824181728732703E-2</v>
      </c>
      <c r="X880" s="706">
        <f t="shared" si="678"/>
        <v>2.8857461255750876E-2</v>
      </c>
      <c r="Y880" s="706">
        <f t="shared" si="678"/>
        <v>2.8949263106981083E-2</v>
      </c>
      <c r="Z880" s="706">
        <f t="shared" si="678"/>
        <v>2.8444434290729927E-2</v>
      </c>
      <c r="AA880" s="706">
        <f t="shared" si="678"/>
        <v>11.668149778890941</v>
      </c>
      <c r="AB880" s="706">
        <f t="shared" si="678"/>
        <v>11.709784403876885</v>
      </c>
      <c r="AC880" s="706">
        <f t="shared" si="678"/>
        <v>11.704248940752674</v>
      </c>
      <c r="AD880" s="706">
        <f t="shared" si="678"/>
        <v>11.711751978019279</v>
      </c>
      <c r="AE880" s="706">
        <f t="shared" si="678"/>
        <v>11.672158593756791</v>
      </c>
      <c r="AF880" s="706">
        <f t="shared" si="678"/>
        <v>11.710013471778208</v>
      </c>
    </row>
    <row r="881" spans="1:32" x14ac:dyDescent="0.2">
      <c r="A881" s="6">
        <v>3</v>
      </c>
      <c r="C881" s="706">
        <f t="shared" si="677"/>
        <v>8.6599801187437597E-2</v>
      </c>
      <c r="D881" s="706">
        <f t="shared" si="677"/>
        <v>9.1779969396713804E-2</v>
      </c>
      <c r="E881" s="706">
        <f t="shared" si="677"/>
        <v>9.5754738190987204E-2</v>
      </c>
      <c r="F881" s="706">
        <f t="shared" si="677"/>
        <v>9.6539427468343569E-2</v>
      </c>
      <c r="G881" s="706">
        <f t="shared" si="678"/>
        <v>7.3109437448534403E-2</v>
      </c>
      <c r="H881" s="706">
        <f t="shared" si="678"/>
        <v>0.11631966171225516</v>
      </c>
      <c r="I881" s="706">
        <f t="shared" si="678"/>
        <v>9.2407743777851312E-2</v>
      </c>
      <c r="J881" s="706">
        <f t="shared" si="678"/>
        <v>0.11392924448150565</v>
      </c>
      <c r="K881" s="706">
        <f t="shared" si="678"/>
        <v>4.5053555501727814E-2</v>
      </c>
      <c r="L881" s="706">
        <f t="shared" si="678"/>
        <v>4.5069772700723425E-2</v>
      </c>
      <c r="M881" s="706">
        <f t="shared" si="678"/>
        <v>4.5049637907453317E-2</v>
      </c>
      <c r="N881" s="706">
        <f t="shared" si="678"/>
        <v>4.500571299817286E-2</v>
      </c>
      <c r="O881" s="706">
        <f t="shared" si="678"/>
        <v>4.5007376497749572E-2</v>
      </c>
      <c r="P881" s="706">
        <f t="shared" si="678"/>
        <v>4.4833763150155144E-2</v>
      </c>
      <c r="Q881" s="706">
        <f t="shared" si="678"/>
        <v>4.4431993665436362E-2</v>
      </c>
      <c r="R881" s="706">
        <f t="shared" si="678"/>
        <v>2.789027331905878E-2</v>
      </c>
      <c r="S881" s="706">
        <f t="shared" si="678"/>
        <v>2.8111815609622504E-2</v>
      </c>
      <c r="T881" s="706">
        <f t="shared" si="678"/>
        <v>2.8241284546381851E-2</v>
      </c>
      <c r="U881" s="706">
        <f t="shared" si="678"/>
        <v>2.8650311555418827E-2</v>
      </c>
      <c r="V881" s="706">
        <f t="shared" si="678"/>
        <v>2.7627027327067358E-2</v>
      </c>
      <c r="W881" s="706">
        <f t="shared" si="678"/>
        <v>2.8440228769084631E-2</v>
      </c>
      <c r="X881" s="706">
        <f t="shared" si="678"/>
        <v>2.8808487289313282E-2</v>
      </c>
      <c r="Y881" s="706">
        <f t="shared" si="678"/>
        <v>2.8859518493718386E-2</v>
      </c>
      <c r="Z881" s="706">
        <f t="shared" si="678"/>
        <v>2.83350579044199E-2</v>
      </c>
      <c r="AA881" s="706">
        <f t="shared" si="678"/>
        <v>11.667198880517054</v>
      </c>
      <c r="AB881" s="706">
        <f t="shared" si="678"/>
        <v>11.708755154332319</v>
      </c>
      <c r="AC881" s="706">
        <f t="shared" si="678"/>
        <v>11.703319026466239</v>
      </c>
      <c r="AD881" s="706">
        <f t="shared" si="678"/>
        <v>11.710814719884539</v>
      </c>
      <c r="AE881" s="706">
        <f t="shared" si="678"/>
        <v>11.671179092659779</v>
      </c>
      <c r="AF881" s="706">
        <f t="shared" si="678"/>
        <v>11.709073725211796</v>
      </c>
    </row>
    <row r="882" spans="1:32" x14ac:dyDescent="0.2">
      <c r="A882" s="6">
        <v>4</v>
      </c>
      <c r="C882" s="706">
        <f t="shared" si="677"/>
        <v>8.6479146197945472E-2</v>
      </c>
      <c r="D882" s="706">
        <f t="shared" si="677"/>
        <v>8.3560700227800183E-2</v>
      </c>
      <c r="E882" s="706">
        <f t="shared" si="677"/>
        <v>9.3913767497837058E-2</v>
      </c>
      <c r="F882" s="706">
        <f t="shared" si="677"/>
        <v>9.4415680731630605E-2</v>
      </c>
      <c r="G882" s="706">
        <f t="shared" si="678"/>
        <v>7.1349504909450065E-2</v>
      </c>
      <c r="H882" s="706">
        <f t="shared" si="678"/>
        <v>0.11378080716483557</v>
      </c>
      <c r="I882" s="706">
        <f t="shared" si="678"/>
        <v>9.1252016889598539E-2</v>
      </c>
      <c r="J882" s="706">
        <f t="shared" si="678"/>
        <v>0.11276831003702645</v>
      </c>
      <c r="K882" s="706">
        <f t="shared" si="678"/>
        <v>4.5049012734699613E-2</v>
      </c>
      <c r="L882" s="706">
        <f t="shared" si="678"/>
        <v>4.5062862307127395E-2</v>
      </c>
      <c r="M882" s="706">
        <f t="shared" si="678"/>
        <v>4.50426863722726E-2</v>
      </c>
      <c r="N882" s="706">
        <f t="shared" si="678"/>
        <v>4.5000006820351636E-2</v>
      </c>
      <c r="O882" s="706">
        <f t="shared" si="678"/>
        <v>4.4994812146132296E-2</v>
      </c>
      <c r="P882" s="706">
        <f t="shared" si="678"/>
        <v>4.4826756786151285E-2</v>
      </c>
      <c r="Q882" s="706">
        <f t="shared" si="678"/>
        <v>4.4404515933758368E-2</v>
      </c>
      <c r="R882" s="706">
        <f t="shared" si="678"/>
        <v>2.7859682693883638E-2</v>
      </c>
      <c r="S882" s="706">
        <f t="shared" si="678"/>
        <v>2.8078322674117674E-2</v>
      </c>
      <c r="T882" s="706">
        <f t="shared" si="678"/>
        <v>2.8201188226198069E-2</v>
      </c>
      <c r="U882" s="706">
        <f t="shared" si="678"/>
        <v>2.8578500131319511E-2</v>
      </c>
      <c r="V882" s="706">
        <f t="shared" si="678"/>
        <v>2.7511630688904151E-2</v>
      </c>
      <c r="W882" s="706">
        <f t="shared" si="678"/>
        <v>2.8226921569280146E-2</v>
      </c>
      <c r="X882" s="706">
        <f t="shared" si="678"/>
        <v>2.8781279530181284E-2</v>
      </c>
      <c r="Y882" s="706">
        <f t="shared" si="678"/>
        <v>2.8809660375239108E-2</v>
      </c>
      <c r="Z882" s="706">
        <f t="shared" si="678"/>
        <v>2.8274293245358774E-2</v>
      </c>
      <c r="AA882" s="706">
        <f t="shared" si="678"/>
        <v>11.666670603642672</v>
      </c>
      <c r="AB882" s="706">
        <f t="shared" si="678"/>
        <v>11.708183349029783</v>
      </c>
      <c r="AC882" s="706">
        <f t="shared" si="678"/>
        <v>11.702802407418222</v>
      </c>
      <c r="AD882" s="706">
        <f t="shared" si="678"/>
        <v>11.710294020920793</v>
      </c>
      <c r="AE882" s="706">
        <f t="shared" si="678"/>
        <v>11.670634925383661</v>
      </c>
      <c r="AF882" s="706">
        <f t="shared" si="678"/>
        <v>11.708551643786011</v>
      </c>
    </row>
    <row r="883" spans="1:32" x14ac:dyDescent="0.2">
      <c r="A883" s="6">
        <v>5</v>
      </c>
      <c r="C883" s="706">
        <f t="shared" si="677"/>
        <v>8.6358491208453361E-2</v>
      </c>
      <c r="D883" s="706">
        <f t="shared" si="677"/>
        <v>7.5341431058886563E-2</v>
      </c>
      <c r="E883" s="706">
        <f t="shared" si="677"/>
        <v>9.2072796804686913E-2</v>
      </c>
      <c r="F883" s="706">
        <f t="shared" si="677"/>
        <v>9.2291933994917627E-2</v>
      </c>
      <c r="G883" s="706">
        <f t="shared" si="678"/>
        <v>6.9589572370365727E-2</v>
      </c>
      <c r="H883" s="706">
        <f t="shared" si="678"/>
        <v>0.11124195261741598</v>
      </c>
      <c r="I883" s="706">
        <f t="shared" si="678"/>
        <v>9.0096290001345766E-2</v>
      </c>
      <c r="J883" s="706">
        <f t="shared" si="678"/>
        <v>0.11160737559254723</v>
      </c>
      <c r="K883" s="706">
        <f t="shared" si="678"/>
        <v>4.5044469967671412E-2</v>
      </c>
      <c r="L883" s="706">
        <f t="shared" si="678"/>
        <v>4.5055951913531365E-2</v>
      </c>
      <c r="M883" s="706">
        <f t="shared" si="678"/>
        <v>4.5035734837091883E-2</v>
      </c>
      <c r="N883" s="706">
        <f t="shared" si="678"/>
        <v>4.4994300642530405E-2</v>
      </c>
      <c r="O883" s="706">
        <f t="shared" si="678"/>
        <v>4.4982247794515012E-2</v>
      </c>
      <c r="P883" s="706">
        <f t="shared" si="678"/>
        <v>4.4819750422147434E-2</v>
      </c>
      <c r="Q883" s="706">
        <f t="shared" si="678"/>
        <v>4.4377038202080381E-2</v>
      </c>
      <c r="R883" s="706">
        <f t="shared" si="678"/>
        <v>2.78290920687085E-2</v>
      </c>
      <c r="S883" s="706">
        <f t="shared" si="678"/>
        <v>2.8044829738612845E-2</v>
      </c>
      <c r="T883" s="706">
        <f t="shared" si="678"/>
        <v>2.8161091906014291E-2</v>
      </c>
      <c r="U883" s="706">
        <f t="shared" si="678"/>
        <v>2.8506688707220198E-2</v>
      </c>
      <c r="V883" s="706">
        <f t="shared" si="678"/>
        <v>2.7396234050740945E-2</v>
      </c>
      <c r="W883" s="706">
        <f t="shared" si="678"/>
        <v>2.8013614369475661E-2</v>
      </c>
      <c r="X883" s="706">
        <f t="shared" si="678"/>
        <v>2.8754071771049289E-2</v>
      </c>
      <c r="Y883" s="706">
        <f t="shared" si="678"/>
        <v>2.8759802256759833E-2</v>
      </c>
      <c r="Z883" s="706">
        <f t="shared" si="678"/>
        <v>2.8213528586297647E-2</v>
      </c>
      <c r="AA883" s="706">
        <f t="shared" si="678"/>
        <v>11.66614232676829</v>
      </c>
      <c r="AB883" s="706">
        <f t="shared" si="678"/>
        <v>11.707611543727246</v>
      </c>
      <c r="AC883" s="706">
        <f t="shared" si="678"/>
        <v>11.702285788370203</v>
      </c>
      <c r="AD883" s="706">
        <f t="shared" si="678"/>
        <v>11.709773321957048</v>
      </c>
      <c r="AE883" s="706">
        <f t="shared" si="678"/>
        <v>11.670090758107543</v>
      </c>
      <c r="AF883" s="706">
        <f t="shared" si="678"/>
        <v>11.708029562360228</v>
      </c>
    </row>
    <row r="884" spans="1:32" x14ac:dyDescent="0.2">
      <c r="A884" s="6">
        <v>6</v>
      </c>
      <c r="C884" s="706">
        <f t="shared" si="677"/>
        <v>8.6237836218961236E-2</v>
      </c>
      <c r="D884" s="706">
        <f t="shared" si="677"/>
        <v>6.7122161889972942E-2</v>
      </c>
      <c r="E884" s="706">
        <f t="shared" si="677"/>
        <v>9.0231826111536767E-2</v>
      </c>
      <c r="F884" s="706">
        <f t="shared" si="677"/>
        <v>9.0168187258204649E-2</v>
      </c>
      <c r="G884" s="706">
        <f t="shared" si="678"/>
        <v>6.7829639831281374E-2</v>
      </c>
      <c r="H884" s="706">
        <f t="shared" si="678"/>
        <v>0.1087030980699964</v>
      </c>
      <c r="I884" s="706">
        <f t="shared" si="678"/>
        <v>8.8940563113093007E-2</v>
      </c>
      <c r="J884" s="706">
        <f t="shared" si="678"/>
        <v>0.11044644114806801</v>
      </c>
      <c r="K884" s="706">
        <f t="shared" si="678"/>
        <v>4.5039927200643204E-2</v>
      </c>
      <c r="L884" s="706">
        <f t="shared" si="678"/>
        <v>4.5049041519935343E-2</v>
      </c>
      <c r="M884" s="706">
        <f t="shared" si="678"/>
        <v>4.5028783301911172E-2</v>
      </c>
      <c r="N884" s="706">
        <f t="shared" si="678"/>
        <v>4.4988594464709174E-2</v>
      </c>
      <c r="O884" s="706">
        <f t="shared" si="678"/>
        <v>4.4969683442897729E-2</v>
      </c>
      <c r="P884" s="706">
        <f t="shared" si="678"/>
        <v>4.4812744058143582E-2</v>
      </c>
      <c r="Q884" s="706">
        <f t="shared" si="678"/>
        <v>4.4349560470402394E-2</v>
      </c>
      <c r="R884" s="706">
        <f t="shared" si="678"/>
        <v>2.7798501443533363E-2</v>
      </c>
      <c r="S884" s="706">
        <f t="shared" si="678"/>
        <v>2.8011336803108015E-2</v>
      </c>
      <c r="T884" s="706">
        <f t="shared" si="678"/>
        <v>2.8120995585830508E-2</v>
      </c>
      <c r="U884" s="706">
        <f t="shared" si="678"/>
        <v>2.8434877283120885E-2</v>
      </c>
      <c r="V884" s="706">
        <f t="shared" si="678"/>
        <v>2.7280837412577735E-2</v>
      </c>
      <c r="W884" s="706">
        <f t="shared" si="678"/>
        <v>2.7800307169671176E-2</v>
      </c>
      <c r="X884" s="706">
        <f t="shared" si="678"/>
        <v>2.8726864011917291E-2</v>
      </c>
      <c r="Y884" s="706">
        <f t="shared" si="678"/>
        <v>2.8709944138280555E-2</v>
      </c>
      <c r="Z884" s="706">
        <f t="shared" si="678"/>
        <v>2.8152763927236518E-2</v>
      </c>
      <c r="AA884" s="706">
        <f t="shared" si="678"/>
        <v>11.665614049893907</v>
      </c>
      <c r="AB884" s="706">
        <f t="shared" si="678"/>
        <v>11.707039738424712</v>
      </c>
      <c r="AC884" s="706">
        <f t="shared" si="678"/>
        <v>11.701769169322185</v>
      </c>
      <c r="AD884" s="706">
        <f t="shared" si="678"/>
        <v>11.709252622993302</v>
      </c>
      <c r="AE884" s="706">
        <f t="shared" si="678"/>
        <v>11.669546590831425</v>
      </c>
      <c r="AF884" s="706">
        <f t="shared" si="678"/>
        <v>11.707507480934442</v>
      </c>
    </row>
    <row r="885" spans="1:32" x14ac:dyDescent="0.2">
      <c r="A885" s="6">
        <v>8</v>
      </c>
      <c r="C885" s="706">
        <f t="shared" si="677"/>
        <v>8.5996526239977E-2</v>
      </c>
      <c r="D885" s="706">
        <f t="shared" si="677"/>
        <v>5.0683623552145687E-2</v>
      </c>
      <c r="E885" s="706">
        <f t="shared" si="677"/>
        <v>8.6549884725236489E-2</v>
      </c>
      <c r="F885" s="706">
        <f t="shared" si="677"/>
        <v>8.5920693784778693E-2</v>
      </c>
      <c r="G885" s="706">
        <f t="shared" si="678"/>
        <v>6.4309774753112697E-2</v>
      </c>
      <c r="H885" s="706">
        <f t="shared" si="678"/>
        <v>0.10362538897515722</v>
      </c>
      <c r="I885" s="706">
        <f t="shared" si="678"/>
        <v>8.6629109336587462E-2</v>
      </c>
      <c r="J885" s="706">
        <f t="shared" si="678"/>
        <v>0.10812457225910957</v>
      </c>
      <c r="K885" s="706">
        <f t="shared" si="678"/>
        <v>4.5030841666586802E-2</v>
      </c>
      <c r="L885" s="706">
        <f t="shared" si="678"/>
        <v>4.5035220732743284E-2</v>
      </c>
      <c r="M885" s="706">
        <f t="shared" si="678"/>
        <v>4.5014880231549738E-2</v>
      </c>
      <c r="N885" s="706">
        <f t="shared" si="678"/>
        <v>4.4977182109066718E-2</v>
      </c>
      <c r="O885" s="706">
        <f t="shared" si="678"/>
        <v>4.4944554739663169E-2</v>
      </c>
      <c r="P885" s="706">
        <f t="shared" si="678"/>
        <v>4.4798731330135871E-2</v>
      </c>
      <c r="Q885" s="706">
        <f t="shared" si="678"/>
        <v>4.4294605007046413E-2</v>
      </c>
      <c r="R885" s="706">
        <f t="shared" si="678"/>
        <v>2.7737320193183083E-2</v>
      </c>
      <c r="S885" s="706">
        <f t="shared" si="678"/>
        <v>2.7944350932098357E-2</v>
      </c>
      <c r="T885" s="706">
        <f t="shared" si="678"/>
        <v>2.8040802945462948E-2</v>
      </c>
      <c r="U885" s="706">
        <f t="shared" si="678"/>
        <v>2.8291254434922256E-2</v>
      </c>
      <c r="V885" s="706">
        <f t="shared" si="678"/>
        <v>2.7050044136251322E-2</v>
      </c>
      <c r="W885" s="706">
        <f t="shared" si="678"/>
        <v>2.737369277006221E-2</v>
      </c>
      <c r="X885" s="706">
        <f t="shared" si="678"/>
        <v>2.8672448493653295E-2</v>
      </c>
      <c r="Y885" s="706">
        <f t="shared" si="678"/>
        <v>2.8610227901322002E-2</v>
      </c>
      <c r="Z885" s="706">
        <f t="shared" si="678"/>
        <v>2.8031234609114265E-2</v>
      </c>
      <c r="AA885" s="706">
        <f t="shared" si="678"/>
        <v>11.664557496145143</v>
      </c>
      <c r="AB885" s="706">
        <f t="shared" si="678"/>
        <v>11.705896127819639</v>
      </c>
      <c r="AC885" s="706">
        <f t="shared" si="678"/>
        <v>11.700735931226149</v>
      </c>
      <c r="AD885" s="706">
        <f t="shared" si="678"/>
        <v>11.708211225065813</v>
      </c>
      <c r="AE885" s="706">
        <f t="shared" si="678"/>
        <v>11.668458256279189</v>
      </c>
      <c r="AF885" s="706">
        <f t="shared" si="678"/>
        <v>11.706463318082873</v>
      </c>
    </row>
    <row r="886" spans="1:32" x14ac:dyDescent="0.2">
      <c r="A886" s="6">
        <v>9</v>
      </c>
      <c r="C886" s="706">
        <f t="shared" si="677"/>
        <v>8.5875871250484889E-2</v>
      </c>
      <c r="D886" s="706">
        <f t="shared" si="677"/>
        <v>4.2464354383232067E-2</v>
      </c>
      <c r="E886" s="706">
        <f t="shared" si="677"/>
        <v>8.4708914032086344E-2</v>
      </c>
      <c r="F886" s="706">
        <f t="shared" si="677"/>
        <v>8.3796947048065715E-2</v>
      </c>
      <c r="G886" s="706">
        <f t="shared" si="678"/>
        <v>6.2549842214028359E-2</v>
      </c>
      <c r="H886" s="706">
        <f t="shared" si="678"/>
        <v>0.10108653442773763</v>
      </c>
      <c r="I886" s="706">
        <f t="shared" si="678"/>
        <v>8.5473382448334703E-2</v>
      </c>
      <c r="J886" s="706">
        <f t="shared" si="678"/>
        <v>0.10696363781463036</v>
      </c>
      <c r="K886" s="706">
        <f t="shared" si="678"/>
        <v>4.5026298899558601E-2</v>
      </c>
      <c r="L886" s="706">
        <f t="shared" si="678"/>
        <v>4.5028310339147261E-2</v>
      </c>
      <c r="M886" s="706">
        <f t="shared" si="678"/>
        <v>4.5007928696369028E-2</v>
      </c>
      <c r="N886" s="706">
        <f t="shared" si="678"/>
        <v>4.4971475931245487E-2</v>
      </c>
      <c r="O886" s="706">
        <f t="shared" si="678"/>
        <v>4.4931990388045885E-2</v>
      </c>
      <c r="P886" s="706">
        <f t="shared" si="678"/>
        <v>4.4791724966132013E-2</v>
      </c>
      <c r="Q886" s="706">
        <f t="shared" si="678"/>
        <v>4.4267127275368419E-2</v>
      </c>
      <c r="R886" s="706">
        <f t="shared" si="678"/>
        <v>2.7706729568007946E-2</v>
      </c>
      <c r="S886" s="706">
        <f t="shared" si="678"/>
        <v>2.7910857996593527E-2</v>
      </c>
      <c r="T886" s="706">
        <f t="shared" si="678"/>
        <v>2.8000706625279169E-2</v>
      </c>
      <c r="U886" s="706">
        <f t="shared" si="678"/>
        <v>2.8219443010822944E-2</v>
      </c>
      <c r="V886" s="706">
        <f t="shared" si="678"/>
        <v>2.6934647498088111E-2</v>
      </c>
      <c r="W886" s="706">
        <f t="shared" si="678"/>
        <v>2.7160385570257725E-2</v>
      </c>
      <c r="X886" s="706">
        <f t="shared" si="678"/>
        <v>2.86452407345213E-2</v>
      </c>
      <c r="Y886" s="706">
        <f t="shared" si="678"/>
        <v>2.8560369782842727E-2</v>
      </c>
      <c r="Z886" s="706">
        <f t="shared" si="678"/>
        <v>2.7970469950053138E-2</v>
      </c>
      <c r="AA886" s="706">
        <f t="shared" si="678"/>
        <v>11.664029219270761</v>
      </c>
      <c r="AB886" s="706">
        <f t="shared" si="678"/>
        <v>11.705324322517102</v>
      </c>
      <c r="AC886" s="706">
        <f t="shared" si="678"/>
        <v>11.700219312178129</v>
      </c>
      <c r="AD886" s="706">
        <f t="shared" si="678"/>
        <v>11.707690526102068</v>
      </c>
      <c r="AE886" s="706">
        <f t="shared" si="678"/>
        <v>11.667914089003071</v>
      </c>
      <c r="AF886" s="706">
        <f t="shared" si="678"/>
        <v>11.70594123665709</v>
      </c>
    </row>
    <row r="887" spans="1:32" x14ac:dyDescent="0.2">
      <c r="A887" s="6">
        <v>11</v>
      </c>
      <c r="C887" s="706">
        <f t="shared" si="677"/>
        <v>8.5634561271500639E-2</v>
      </c>
      <c r="D887" s="706">
        <f t="shared" si="677"/>
        <v>2.6025816045404812E-2</v>
      </c>
      <c r="E887" s="706">
        <f t="shared" si="677"/>
        <v>8.1026972645786052E-2</v>
      </c>
      <c r="F887" s="706">
        <f t="shared" si="677"/>
        <v>7.9549453574639759E-2</v>
      </c>
      <c r="G887" s="706">
        <f t="shared" si="678"/>
        <v>5.9029977135859682E-2</v>
      </c>
      <c r="H887" s="706">
        <f t="shared" si="678"/>
        <v>9.6008825332898451E-2</v>
      </c>
      <c r="I887" s="706">
        <f t="shared" si="678"/>
        <v>8.3161928671829158E-2</v>
      </c>
      <c r="J887" s="706">
        <f t="shared" si="678"/>
        <v>0.10464176892567192</v>
      </c>
      <c r="K887" s="706">
        <f t="shared" si="678"/>
        <v>4.5017213365502198E-2</v>
      </c>
      <c r="L887" s="706">
        <f t="shared" si="678"/>
        <v>4.5014489551955202E-2</v>
      </c>
      <c r="M887" s="706">
        <f t="shared" si="678"/>
        <v>4.4994025626007593E-2</v>
      </c>
      <c r="N887" s="706">
        <f t="shared" ref="G887:AF897" si="680" xml:space="preserve"> N$82 + ((N$83 / 200 * N$82) - $A887 * 0.1 * (N$83 / 200 * N$82))</f>
        <v>4.4960063575603025E-2</v>
      </c>
      <c r="O887" s="706">
        <f t="shared" si="680"/>
        <v>4.4906861684811318E-2</v>
      </c>
      <c r="P887" s="706">
        <f t="shared" si="680"/>
        <v>4.4777712238124309E-2</v>
      </c>
      <c r="Q887" s="706">
        <f t="shared" si="680"/>
        <v>4.4212171812012445E-2</v>
      </c>
      <c r="R887" s="706">
        <f t="shared" si="680"/>
        <v>2.764554831765767E-2</v>
      </c>
      <c r="S887" s="706">
        <f t="shared" si="680"/>
        <v>2.7843872125583868E-2</v>
      </c>
      <c r="T887" s="706">
        <f t="shared" si="680"/>
        <v>2.7920513984911605E-2</v>
      </c>
      <c r="U887" s="706">
        <f t="shared" si="680"/>
        <v>2.8075820162624318E-2</v>
      </c>
      <c r="V887" s="706">
        <f t="shared" si="680"/>
        <v>2.6703854221761698E-2</v>
      </c>
      <c r="W887" s="706">
        <f t="shared" si="680"/>
        <v>2.6733771170648755E-2</v>
      </c>
      <c r="X887" s="706">
        <f t="shared" si="680"/>
        <v>2.8590825216257304E-2</v>
      </c>
      <c r="Y887" s="706">
        <f t="shared" si="680"/>
        <v>2.846065354588417E-2</v>
      </c>
      <c r="Z887" s="706">
        <f t="shared" si="680"/>
        <v>2.7848940631930885E-2</v>
      </c>
      <c r="AA887" s="706">
        <f t="shared" si="680"/>
        <v>11.662972665521997</v>
      </c>
      <c r="AB887" s="706">
        <f t="shared" si="680"/>
        <v>11.704180711912029</v>
      </c>
      <c r="AC887" s="706">
        <f t="shared" si="680"/>
        <v>11.699186074082094</v>
      </c>
      <c r="AD887" s="706">
        <f t="shared" si="680"/>
        <v>11.706649128174577</v>
      </c>
      <c r="AE887" s="706">
        <f t="shared" si="680"/>
        <v>11.666825754450835</v>
      </c>
      <c r="AF887" s="706">
        <f t="shared" si="680"/>
        <v>11.704897073805519</v>
      </c>
    </row>
    <row r="888" spans="1:32" x14ac:dyDescent="0.2">
      <c r="A888" s="6">
        <v>12</v>
      </c>
      <c r="C888" s="706">
        <f t="shared" si="677"/>
        <v>8.5513906282008528E-2</v>
      </c>
      <c r="D888" s="706">
        <f t="shared" si="677"/>
        <v>1.7806546876491192E-2</v>
      </c>
      <c r="E888" s="706">
        <f t="shared" si="677"/>
        <v>7.9186001952635907E-2</v>
      </c>
      <c r="F888" s="706">
        <f t="shared" si="677"/>
        <v>7.742570683792678E-2</v>
      </c>
      <c r="G888" s="706">
        <f t="shared" si="680"/>
        <v>5.7270044596775337E-2</v>
      </c>
      <c r="H888" s="706">
        <f t="shared" si="680"/>
        <v>9.3469970785478862E-2</v>
      </c>
      <c r="I888" s="706">
        <f t="shared" si="680"/>
        <v>8.2006201783576399E-2</v>
      </c>
      <c r="J888" s="706">
        <f t="shared" si="680"/>
        <v>0.1034808344811927</v>
      </c>
      <c r="K888" s="706">
        <f t="shared" si="680"/>
        <v>4.5012670598473997E-2</v>
      </c>
      <c r="L888" s="706">
        <f t="shared" si="680"/>
        <v>4.5007579158359179E-2</v>
      </c>
      <c r="M888" s="706">
        <f t="shared" si="680"/>
        <v>4.4987074090826883E-2</v>
      </c>
      <c r="N888" s="706">
        <f t="shared" si="680"/>
        <v>4.4954357397781794E-2</v>
      </c>
      <c r="O888" s="706">
        <f t="shared" si="680"/>
        <v>4.4894297333194035E-2</v>
      </c>
      <c r="P888" s="706">
        <f t="shared" si="680"/>
        <v>4.4770705874120451E-2</v>
      </c>
      <c r="Q888" s="706">
        <f t="shared" si="680"/>
        <v>4.4184694080334451E-2</v>
      </c>
      <c r="R888" s="706">
        <f t="shared" si="680"/>
        <v>2.7614957692482532E-2</v>
      </c>
      <c r="S888" s="706">
        <f t="shared" si="680"/>
        <v>2.7810379190079039E-2</v>
      </c>
      <c r="T888" s="706">
        <f t="shared" si="680"/>
        <v>2.7880417664727826E-2</v>
      </c>
      <c r="U888" s="706">
        <f t="shared" si="680"/>
        <v>2.8004008738525002E-2</v>
      </c>
      <c r="V888" s="706">
        <f t="shared" si="680"/>
        <v>2.6588457583598488E-2</v>
      </c>
      <c r="W888" s="706">
        <f t="shared" si="680"/>
        <v>2.6520463970844271E-2</v>
      </c>
      <c r="X888" s="706">
        <f t="shared" si="680"/>
        <v>2.8563617457125309E-2</v>
      </c>
      <c r="Y888" s="706">
        <f t="shared" si="680"/>
        <v>2.8410795427404895E-2</v>
      </c>
      <c r="Z888" s="706">
        <f t="shared" si="680"/>
        <v>2.7788175972869759E-2</v>
      </c>
      <c r="AA888" s="706">
        <f t="shared" si="680"/>
        <v>11.662444388647614</v>
      </c>
      <c r="AB888" s="706">
        <f t="shared" si="680"/>
        <v>11.703608906609492</v>
      </c>
      <c r="AC888" s="706">
        <f t="shared" si="680"/>
        <v>11.698669455034075</v>
      </c>
      <c r="AD888" s="706">
        <f t="shared" si="680"/>
        <v>11.706128429210832</v>
      </c>
      <c r="AE888" s="706">
        <f t="shared" si="680"/>
        <v>11.666281587174717</v>
      </c>
      <c r="AF888" s="706">
        <f t="shared" si="680"/>
        <v>11.704374992379735</v>
      </c>
    </row>
    <row r="889" spans="1:32" x14ac:dyDescent="0.2">
      <c r="A889" s="6">
        <v>13</v>
      </c>
      <c r="C889" s="706">
        <f t="shared" si="677"/>
        <v>8.5393251292516403E-2</v>
      </c>
      <c r="D889" s="706">
        <f t="shared" si="677"/>
        <v>9.5872777075775711E-3</v>
      </c>
      <c r="E889" s="706">
        <f t="shared" si="677"/>
        <v>7.7345031259485761E-2</v>
      </c>
      <c r="F889" s="706">
        <f t="shared" si="677"/>
        <v>7.5301960101213802E-2</v>
      </c>
      <c r="G889" s="706">
        <f t="shared" si="680"/>
        <v>5.5510112057690998E-2</v>
      </c>
      <c r="H889" s="706">
        <f t="shared" si="680"/>
        <v>9.0931116238059273E-2</v>
      </c>
      <c r="I889" s="706">
        <f t="shared" si="680"/>
        <v>8.0850474895323626E-2</v>
      </c>
      <c r="J889" s="706">
        <f t="shared" si="680"/>
        <v>0.1023199000367135</v>
      </c>
      <c r="K889" s="706">
        <f t="shared" si="680"/>
        <v>4.5008127831445796E-2</v>
      </c>
      <c r="L889" s="706">
        <f t="shared" si="680"/>
        <v>4.5000668764763149E-2</v>
      </c>
      <c r="M889" s="706">
        <f t="shared" si="680"/>
        <v>4.4980122555646165E-2</v>
      </c>
      <c r="N889" s="706">
        <f t="shared" si="680"/>
        <v>4.494865121996057E-2</v>
      </c>
      <c r="O889" s="706">
        <f t="shared" si="680"/>
        <v>4.4881732981576758E-2</v>
      </c>
      <c r="P889" s="706">
        <f t="shared" si="680"/>
        <v>4.4763699510116599E-2</v>
      </c>
      <c r="Q889" s="706">
        <f t="shared" si="680"/>
        <v>4.4157216348656464E-2</v>
      </c>
      <c r="R889" s="706">
        <f t="shared" si="680"/>
        <v>2.7584367067307391E-2</v>
      </c>
      <c r="S889" s="706">
        <f t="shared" si="680"/>
        <v>2.777688625457421E-2</v>
      </c>
      <c r="T889" s="706">
        <f t="shared" si="680"/>
        <v>2.7840321344544044E-2</v>
      </c>
      <c r="U889" s="706">
        <f t="shared" si="680"/>
        <v>2.7932197314425689E-2</v>
      </c>
      <c r="V889" s="706">
        <f t="shared" si="680"/>
        <v>2.6473060945435282E-2</v>
      </c>
      <c r="W889" s="706">
        <f t="shared" si="680"/>
        <v>2.6307156771039786E-2</v>
      </c>
      <c r="X889" s="706">
        <f t="shared" si="680"/>
        <v>2.8536409697993311E-2</v>
      </c>
      <c r="Y889" s="706">
        <f t="shared" si="680"/>
        <v>2.8360937308925617E-2</v>
      </c>
      <c r="Z889" s="706">
        <f t="shared" si="680"/>
        <v>2.7727411313808632E-2</v>
      </c>
      <c r="AA889" s="706">
        <f t="shared" si="680"/>
        <v>11.661916111773232</v>
      </c>
      <c r="AB889" s="706">
        <f t="shared" si="680"/>
        <v>11.703037101306956</v>
      </c>
      <c r="AC889" s="706">
        <f t="shared" si="680"/>
        <v>11.698152835986058</v>
      </c>
      <c r="AD889" s="706">
        <f t="shared" si="680"/>
        <v>11.705607730247088</v>
      </c>
      <c r="AE889" s="706">
        <f t="shared" si="680"/>
        <v>11.665737419898599</v>
      </c>
      <c r="AF889" s="706">
        <f t="shared" si="680"/>
        <v>11.70385291095395</v>
      </c>
    </row>
    <row r="890" spans="1:32" x14ac:dyDescent="0.2">
      <c r="A890" s="6">
        <v>14</v>
      </c>
      <c r="C890" s="706">
        <f t="shared" si="677"/>
        <v>8.5272596303024292E-2</v>
      </c>
      <c r="D890" s="706">
        <f t="shared" si="677"/>
        <v>1.3680085386639368E-3</v>
      </c>
      <c r="E890" s="706">
        <f t="shared" si="677"/>
        <v>7.5504060566335615E-2</v>
      </c>
      <c r="F890" s="706">
        <f t="shared" si="677"/>
        <v>7.3178213364500824E-2</v>
      </c>
      <c r="G890" s="706">
        <f t="shared" si="680"/>
        <v>5.3750179518606653E-2</v>
      </c>
      <c r="H890" s="706">
        <f t="shared" si="680"/>
        <v>8.8392261690639684E-2</v>
      </c>
      <c r="I890" s="706">
        <f t="shared" si="680"/>
        <v>7.9694748007070854E-2</v>
      </c>
      <c r="J890" s="706">
        <f t="shared" si="680"/>
        <v>0.10115896559223428</v>
      </c>
      <c r="K890" s="706">
        <f t="shared" si="680"/>
        <v>4.5003585064417595E-2</v>
      </c>
      <c r="L890" s="706">
        <f t="shared" si="680"/>
        <v>4.499375837116712E-2</v>
      </c>
      <c r="M890" s="706">
        <f t="shared" si="680"/>
        <v>4.4973171020465448E-2</v>
      </c>
      <c r="N890" s="706">
        <f t="shared" si="680"/>
        <v>4.4942945042139339E-2</v>
      </c>
      <c r="O890" s="706">
        <f t="shared" si="680"/>
        <v>4.4869168629959474E-2</v>
      </c>
      <c r="P890" s="706">
        <f t="shared" si="680"/>
        <v>4.475669314611274E-2</v>
      </c>
      <c r="Q890" s="706">
        <f t="shared" si="680"/>
        <v>4.412973861697847E-2</v>
      </c>
      <c r="R890" s="706">
        <f t="shared" si="680"/>
        <v>2.7553776442132253E-2</v>
      </c>
      <c r="S890" s="706">
        <f t="shared" si="680"/>
        <v>2.774339331906938E-2</v>
      </c>
      <c r="T890" s="706">
        <f t="shared" si="680"/>
        <v>2.7800225024360265E-2</v>
      </c>
      <c r="U890" s="706">
        <f t="shared" si="680"/>
        <v>2.7860385890326377E-2</v>
      </c>
      <c r="V890" s="706">
        <f t="shared" si="680"/>
        <v>2.6357664307272075E-2</v>
      </c>
      <c r="W890" s="706">
        <f t="shared" si="680"/>
        <v>2.6093849571235304E-2</v>
      </c>
      <c r="X890" s="706">
        <f t="shared" si="680"/>
        <v>2.8509201938861313E-2</v>
      </c>
      <c r="Y890" s="706">
        <f t="shared" si="680"/>
        <v>2.8311079190446342E-2</v>
      </c>
      <c r="Z890" s="706">
        <f t="shared" si="680"/>
        <v>2.7666646654747506E-2</v>
      </c>
      <c r="AA890" s="706">
        <f t="shared" si="680"/>
        <v>11.66138783489885</v>
      </c>
      <c r="AB890" s="706">
        <f t="shared" si="680"/>
        <v>11.702465296004419</v>
      </c>
      <c r="AC890" s="706">
        <f t="shared" si="680"/>
        <v>11.697636216938038</v>
      </c>
      <c r="AD890" s="706">
        <f t="shared" si="680"/>
        <v>11.705087031283343</v>
      </c>
      <c r="AE890" s="706">
        <f t="shared" si="680"/>
        <v>11.665193252622482</v>
      </c>
      <c r="AF890" s="706">
        <f t="shared" si="680"/>
        <v>11.703330829528166</v>
      </c>
    </row>
    <row r="891" spans="1:32" x14ac:dyDescent="0.2">
      <c r="A891" s="6">
        <v>15</v>
      </c>
      <c r="C891" s="706">
        <f t="shared" si="677"/>
        <v>8.5151941313532167E-2</v>
      </c>
      <c r="D891" s="706">
        <f t="shared" si="677"/>
        <v>-6.8512606302496698E-3</v>
      </c>
      <c r="E891" s="706">
        <f t="shared" si="677"/>
        <v>7.3663089873185483E-2</v>
      </c>
      <c r="F891" s="706">
        <f t="shared" si="677"/>
        <v>7.105446662778786E-2</v>
      </c>
      <c r="G891" s="706">
        <f t="shared" si="680"/>
        <v>5.1990246979522314E-2</v>
      </c>
      <c r="H891" s="706">
        <f t="shared" si="680"/>
        <v>8.5853407143220095E-2</v>
      </c>
      <c r="I891" s="706">
        <f t="shared" si="680"/>
        <v>7.8539021118818095E-2</v>
      </c>
      <c r="J891" s="706">
        <f t="shared" si="680"/>
        <v>9.9998031147755059E-2</v>
      </c>
      <c r="K891" s="706">
        <f t="shared" si="680"/>
        <v>4.4999042297389387E-2</v>
      </c>
      <c r="L891" s="706">
        <f t="shared" si="680"/>
        <v>4.4986847977571097E-2</v>
      </c>
      <c r="M891" s="706">
        <f t="shared" si="680"/>
        <v>4.4966219485284738E-2</v>
      </c>
      <c r="N891" s="706">
        <f t="shared" si="680"/>
        <v>4.4937238864318108E-2</v>
      </c>
      <c r="O891" s="706">
        <f t="shared" si="680"/>
        <v>4.4856604278342191E-2</v>
      </c>
      <c r="P891" s="706">
        <f t="shared" si="680"/>
        <v>4.4749686782108888E-2</v>
      </c>
      <c r="Q891" s="706">
        <f t="shared" si="680"/>
        <v>4.4102260885300483E-2</v>
      </c>
      <c r="R891" s="706">
        <f t="shared" si="680"/>
        <v>2.7523185816957115E-2</v>
      </c>
      <c r="S891" s="706">
        <f t="shared" si="680"/>
        <v>2.7709900383564551E-2</v>
      </c>
      <c r="T891" s="706">
        <f t="shared" si="680"/>
        <v>2.7760128704176483E-2</v>
      </c>
      <c r="U891" s="706">
        <f t="shared" si="680"/>
        <v>2.7788574466227064E-2</v>
      </c>
      <c r="V891" s="706">
        <f t="shared" si="680"/>
        <v>2.6242267669108865E-2</v>
      </c>
      <c r="W891" s="706">
        <f t="shared" si="680"/>
        <v>2.588054237143082E-2</v>
      </c>
      <c r="X891" s="706">
        <f t="shared" si="680"/>
        <v>2.8481994179729315E-2</v>
      </c>
      <c r="Y891" s="706">
        <f t="shared" si="680"/>
        <v>2.8261221071967064E-2</v>
      </c>
      <c r="Z891" s="706">
        <f t="shared" si="680"/>
        <v>2.7605881995686376E-2</v>
      </c>
      <c r="AA891" s="706">
        <f t="shared" si="680"/>
        <v>11.660859558024468</v>
      </c>
      <c r="AB891" s="706">
        <f t="shared" si="680"/>
        <v>11.701893490701885</v>
      </c>
      <c r="AC891" s="706">
        <f t="shared" si="680"/>
        <v>11.697119597890021</v>
      </c>
      <c r="AD891" s="706">
        <f t="shared" si="680"/>
        <v>11.704566332319597</v>
      </c>
      <c r="AE891" s="706">
        <f t="shared" si="680"/>
        <v>11.664649085346364</v>
      </c>
      <c r="AF891" s="706">
        <f t="shared" si="680"/>
        <v>11.702808748102381</v>
      </c>
    </row>
    <row r="892" spans="1:32" x14ac:dyDescent="0.2">
      <c r="A892" s="6">
        <v>17</v>
      </c>
      <c r="C892" s="706">
        <f t="shared" si="677"/>
        <v>8.4910631334547931E-2</v>
      </c>
      <c r="D892" s="706">
        <f t="shared" si="677"/>
        <v>-2.3289798968076939E-2</v>
      </c>
      <c r="E892" s="706">
        <f t="shared" si="677"/>
        <v>6.9981148486885192E-2</v>
      </c>
      <c r="F892" s="706">
        <f t="shared" si="677"/>
        <v>6.680697315436189E-2</v>
      </c>
      <c r="G892" s="706">
        <f t="shared" si="680"/>
        <v>4.8470381901353637E-2</v>
      </c>
      <c r="H892" s="706">
        <f t="shared" si="680"/>
        <v>8.0775698048380917E-2</v>
      </c>
      <c r="I892" s="706">
        <f t="shared" si="680"/>
        <v>7.6227567342312549E-2</v>
      </c>
      <c r="J892" s="706">
        <f t="shared" si="680"/>
        <v>9.767616225879662E-2</v>
      </c>
      <c r="K892" s="706">
        <f t="shared" si="680"/>
        <v>4.4989956763332985E-2</v>
      </c>
      <c r="L892" s="706">
        <f t="shared" si="680"/>
        <v>4.4973027190379038E-2</v>
      </c>
      <c r="M892" s="706">
        <f t="shared" si="680"/>
        <v>4.4952316414923303E-2</v>
      </c>
      <c r="N892" s="706">
        <f t="shared" si="680"/>
        <v>4.4925826508675652E-2</v>
      </c>
      <c r="O892" s="706">
        <f t="shared" si="680"/>
        <v>4.4831475575107631E-2</v>
      </c>
      <c r="P892" s="706">
        <f t="shared" si="680"/>
        <v>4.4735674054101178E-2</v>
      </c>
      <c r="Q892" s="706">
        <f t="shared" si="680"/>
        <v>4.4047305421944502E-2</v>
      </c>
      <c r="R892" s="706">
        <f t="shared" si="680"/>
        <v>2.7462004566606836E-2</v>
      </c>
      <c r="S892" s="706">
        <f t="shared" si="680"/>
        <v>2.7642914512554892E-2</v>
      </c>
      <c r="T892" s="706">
        <f t="shared" si="680"/>
        <v>2.7679936063808922E-2</v>
      </c>
      <c r="U892" s="706">
        <f t="shared" si="680"/>
        <v>2.7644951618028435E-2</v>
      </c>
      <c r="V892" s="706">
        <f t="shared" si="680"/>
        <v>2.6011474392782452E-2</v>
      </c>
      <c r="W892" s="706">
        <f t="shared" si="680"/>
        <v>2.545392797182185E-2</v>
      </c>
      <c r="X892" s="706">
        <f t="shared" si="680"/>
        <v>2.8427578661465322E-2</v>
      </c>
      <c r="Y892" s="706">
        <f t="shared" si="680"/>
        <v>2.8161504835008511E-2</v>
      </c>
      <c r="Z892" s="706">
        <f t="shared" si="680"/>
        <v>2.7484352677564123E-2</v>
      </c>
      <c r="AA892" s="706">
        <f t="shared" si="680"/>
        <v>11.659803004275703</v>
      </c>
      <c r="AB892" s="706">
        <f t="shared" si="680"/>
        <v>11.700749880096811</v>
      </c>
      <c r="AC892" s="706">
        <f t="shared" si="680"/>
        <v>11.696086359793984</v>
      </c>
      <c r="AD892" s="706">
        <f t="shared" si="680"/>
        <v>11.703524934392107</v>
      </c>
      <c r="AE892" s="706">
        <f t="shared" si="680"/>
        <v>11.663560750794128</v>
      </c>
      <c r="AF892" s="706">
        <f t="shared" si="680"/>
        <v>11.701764585250812</v>
      </c>
    </row>
    <row r="893" spans="1:32" x14ac:dyDescent="0.2">
      <c r="A893" s="6">
        <v>18.8</v>
      </c>
      <c r="C893" s="706">
        <f t="shared" si="677"/>
        <v>8.4693452353462123E-2</v>
      </c>
      <c r="D893" s="706">
        <f t="shared" si="677"/>
        <v>-3.8084483472121441E-2</v>
      </c>
      <c r="E893" s="706">
        <f t="shared" si="677"/>
        <v>6.6667401239214927E-2</v>
      </c>
      <c r="F893" s="706">
        <f t="shared" si="677"/>
        <v>6.2984229028278535E-2</v>
      </c>
      <c r="G893" s="706">
        <f t="shared" si="680"/>
        <v>4.5302503331001831E-2</v>
      </c>
      <c r="H893" s="706">
        <f t="shared" si="680"/>
        <v>7.6205759863025649E-2</v>
      </c>
      <c r="I893" s="706">
        <f t="shared" si="680"/>
        <v>7.414725894345757E-2</v>
      </c>
      <c r="J893" s="706">
        <f t="shared" si="680"/>
        <v>9.5586480258734036E-2</v>
      </c>
      <c r="K893" s="706">
        <f t="shared" si="680"/>
        <v>4.4981779782682224E-2</v>
      </c>
      <c r="L893" s="706">
        <f t="shared" si="680"/>
        <v>4.4960588481906191E-2</v>
      </c>
      <c r="M893" s="706">
        <f t="shared" si="680"/>
        <v>4.4939803651598019E-2</v>
      </c>
      <c r="N893" s="706">
        <f t="shared" si="680"/>
        <v>4.4915555388597435E-2</v>
      </c>
      <c r="O893" s="706">
        <f t="shared" si="680"/>
        <v>4.4808859742196519E-2</v>
      </c>
      <c r="P893" s="706">
        <f t="shared" si="680"/>
        <v>4.4723062598894241E-2</v>
      </c>
      <c r="Q893" s="706">
        <f t="shared" si="680"/>
        <v>4.3997845504924124E-2</v>
      </c>
      <c r="R893" s="706">
        <f t="shared" si="680"/>
        <v>2.7406941441291587E-2</v>
      </c>
      <c r="S893" s="706">
        <f t="shared" si="680"/>
        <v>2.7582627228646201E-2</v>
      </c>
      <c r="T893" s="706">
        <f t="shared" si="680"/>
        <v>2.7607762687478117E-2</v>
      </c>
      <c r="U893" s="706">
        <f t="shared" si="680"/>
        <v>2.7515691054649672E-2</v>
      </c>
      <c r="V893" s="706">
        <f t="shared" si="680"/>
        <v>2.5803760444088678E-2</v>
      </c>
      <c r="W893" s="706">
        <f t="shared" si="680"/>
        <v>2.5069975012173777E-2</v>
      </c>
      <c r="X893" s="706">
        <f t="shared" si="680"/>
        <v>2.8378604695027728E-2</v>
      </c>
      <c r="Y893" s="706">
        <f t="shared" si="680"/>
        <v>2.8071760221745814E-2</v>
      </c>
      <c r="Z893" s="706">
        <f t="shared" si="680"/>
        <v>2.7374976291254096E-2</v>
      </c>
      <c r="AA893" s="706">
        <f t="shared" si="680"/>
        <v>11.658852105901817</v>
      </c>
      <c r="AB893" s="706">
        <f t="shared" si="680"/>
        <v>11.699720630552246</v>
      </c>
      <c r="AC893" s="706">
        <f t="shared" si="680"/>
        <v>11.69515644550755</v>
      </c>
      <c r="AD893" s="706">
        <f t="shared" si="680"/>
        <v>11.702587676257366</v>
      </c>
      <c r="AE893" s="706">
        <f t="shared" si="680"/>
        <v>11.662581249697116</v>
      </c>
      <c r="AF893" s="706">
        <f t="shared" si="680"/>
        <v>11.700824838684401</v>
      </c>
    </row>
    <row r="894" spans="1:32" x14ac:dyDescent="0.2">
      <c r="A894" s="6">
        <v>19.2</v>
      </c>
      <c r="C894" s="706">
        <f t="shared" si="677"/>
        <v>8.4645190357665268E-2</v>
      </c>
      <c r="D894" s="706">
        <f t="shared" si="677"/>
        <v>-4.137219113968689E-2</v>
      </c>
      <c r="E894" s="706">
        <f t="shared" si="677"/>
        <v>6.5931012961954874E-2</v>
      </c>
      <c r="F894" s="706">
        <f t="shared" si="677"/>
        <v>6.2134730333593347E-2</v>
      </c>
      <c r="G894" s="706">
        <f t="shared" si="680"/>
        <v>4.459853031536809E-2</v>
      </c>
      <c r="H894" s="706">
        <f t="shared" si="680"/>
        <v>7.5190218044057816E-2</v>
      </c>
      <c r="I894" s="706">
        <f t="shared" si="680"/>
        <v>7.3684968188156466E-2</v>
      </c>
      <c r="J894" s="706">
        <f t="shared" si="680"/>
        <v>9.5122106480942353E-2</v>
      </c>
      <c r="K894" s="706">
        <f t="shared" si="680"/>
        <v>4.4979962675870941E-2</v>
      </c>
      <c r="L894" s="706">
        <f t="shared" si="680"/>
        <v>4.4957824324467779E-2</v>
      </c>
      <c r="M894" s="706">
        <f t="shared" si="680"/>
        <v>4.4937023037525732E-2</v>
      </c>
      <c r="N894" s="706">
        <f t="shared" si="680"/>
        <v>4.4913272917468945E-2</v>
      </c>
      <c r="O894" s="706">
        <f t="shared" si="680"/>
        <v>4.4803834001549608E-2</v>
      </c>
      <c r="P894" s="706">
        <f t="shared" si="680"/>
        <v>4.4720260053292701E-2</v>
      </c>
      <c r="Q894" s="706">
        <f t="shared" si="680"/>
        <v>4.3986854412252925E-2</v>
      </c>
      <c r="R894" s="706">
        <f t="shared" si="680"/>
        <v>2.7394705191221533E-2</v>
      </c>
      <c r="S894" s="706">
        <f t="shared" si="680"/>
        <v>2.7569230054444269E-2</v>
      </c>
      <c r="T894" s="706">
        <f t="shared" si="680"/>
        <v>2.7591724159404606E-2</v>
      </c>
      <c r="U894" s="706">
        <f t="shared" si="680"/>
        <v>2.7486966485009947E-2</v>
      </c>
      <c r="V894" s="706">
        <f t="shared" si="680"/>
        <v>2.5757601788823394E-2</v>
      </c>
      <c r="W894" s="706">
        <f t="shared" si="680"/>
        <v>2.4984652132251987E-2</v>
      </c>
      <c r="X894" s="706">
        <f t="shared" si="680"/>
        <v>2.8367721591374927E-2</v>
      </c>
      <c r="Y894" s="706">
        <f t="shared" si="680"/>
        <v>2.8051816974354105E-2</v>
      </c>
      <c r="Z894" s="706">
        <f t="shared" si="680"/>
        <v>2.7350670427629644E-2</v>
      </c>
      <c r="AA894" s="706">
        <f t="shared" si="680"/>
        <v>11.658640795152063</v>
      </c>
      <c r="AB894" s="706">
        <f t="shared" si="680"/>
        <v>11.699491908431231</v>
      </c>
      <c r="AC894" s="706">
        <f t="shared" si="680"/>
        <v>11.694949797888343</v>
      </c>
      <c r="AD894" s="706">
        <f t="shared" si="680"/>
        <v>11.702379396671869</v>
      </c>
      <c r="AE894" s="706">
        <f t="shared" si="680"/>
        <v>11.662363582786668</v>
      </c>
      <c r="AF894" s="706">
        <f t="shared" si="680"/>
        <v>11.700616006114087</v>
      </c>
    </row>
    <row r="895" spans="1:32" x14ac:dyDescent="0.2">
      <c r="A895" s="6">
        <v>19.600000000000001</v>
      </c>
      <c r="C895" s="706">
        <f t="shared" si="677"/>
        <v>8.4596928361868426E-2</v>
      </c>
      <c r="D895" s="706">
        <f t="shared" si="677"/>
        <v>-4.4659898807252366E-2</v>
      </c>
      <c r="E895" s="706">
        <f t="shared" si="677"/>
        <v>6.5194624684694807E-2</v>
      </c>
      <c r="F895" s="706">
        <f t="shared" si="677"/>
        <v>6.1285231638908151E-2</v>
      </c>
      <c r="G895" s="706">
        <f t="shared" si="680"/>
        <v>4.3894557299734349E-2</v>
      </c>
      <c r="H895" s="706">
        <f t="shared" si="680"/>
        <v>7.4174676225089983E-2</v>
      </c>
      <c r="I895" s="706">
        <f t="shared" si="680"/>
        <v>7.3222677432855349E-2</v>
      </c>
      <c r="J895" s="706">
        <f t="shared" si="680"/>
        <v>9.4657732703150657E-2</v>
      </c>
      <c r="K895" s="706">
        <f t="shared" si="680"/>
        <v>4.4978145569059665E-2</v>
      </c>
      <c r="L895" s="706">
        <f t="shared" si="680"/>
        <v>4.4955060167029368E-2</v>
      </c>
      <c r="M895" s="706">
        <f t="shared" si="680"/>
        <v>4.4934242423453445E-2</v>
      </c>
      <c r="N895" s="706">
        <f t="shared" si="680"/>
        <v>4.4910990446340449E-2</v>
      </c>
      <c r="O895" s="706">
        <f t="shared" si="680"/>
        <v>4.4798808260902698E-2</v>
      </c>
      <c r="P895" s="706">
        <f t="shared" si="680"/>
        <v>4.4717457507691155E-2</v>
      </c>
      <c r="Q895" s="706">
        <f t="shared" si="680"/>
        <v>4.3975863319581733E-2</v>
      </c>
      <c r="R895" s="706">
        <f t="shared" si="680"/>
        <v>2.7382468941151476E-2</v>
      </c>
      <c r="S895" s="706">
        <f t="shared" si="680"/>
        <v>2.7555832880242336E-2</v>
      </c>
      <c r="T895" s="706">
        <f t="shared" si="680"/>
        <v>2.7575685631331094E-2</v>
      </c>
      <c r="U895" s="706">
        <f t="shared" si="680"/>
        <v>2.7458241915370222E-2</v>
      </c>
      <c r="V895" s="706">
        <f t="shared" si="680"/>
        <v>2.571144313355811E-2</v>
      </c>
      <c r="W895" s="706">
        <f t="shared" si="680"/>
        <v>2.4899329252330189E-2</v>
      </c>
      <c r="X895" s="706">
        <f t="shared" si="680"/>
        <v>2.8356838487722129E-2</v>
      </c>
      <c r="Y895" s="706">
        <f t="shared" si="680"/>
        <v>2.8031873726962392E-2</v>
      </c>
      <c r="Z895" s="706">
        <f t="shared" si="680"/>
        <v>2.7326364564005196E-2</v>
      </c>
      <c r="AA895" s="706">
        <f t="shared" si="680"/>
        <v>11.65842948440231</v>
      </c>
      <c r="AB895" s="706">
        <f t="shared" si="680"/>
        <v>11.699263186310217</v>
      </c>
      <c r="AC895" s="706">
        <f t="shared" si="680"/>
        <v>11.694743150269135</v>
      </c>
      <c r="AD895" s="706">
        <f t="shared" si="680"/>
        <v>11.702171117086371</v>
      </c>
      <c r="AE895" s="706">
        <f t="shared" si="680"/>
        <v>11.66214591587622</v>
      </c>
      <c r="AF895" s="706">
        <f t="shared" si="680"/>
        <v>11.700407173543772</v>
      </c>
    </row>
    <row r="896" spans="1:32" x14ac:dyDescent="0.2">
      <c r="A896" s="6">
        <v>19.998999999999999</v>
      </c>
      <c r="C896" s="706">
        <f t="shared" si="677"/>
        <v>8.454878702106107E-2</v>
      </c>
      <c r="D896" s="706">
        <f t="shared" si="677"/>
        <v>-4.7939387205648873E-2</v>
      </c>
      <c r="E896" s="706">
        <f t="shared" si="677"/>
        <v>6.4460077378127908E-2</v>
      </c>
      <c r="F896" s="706">
        <f t="shared" si="677"/>
        <v>6.0437856690959676E-2</v>
      </c>
      <c r="G896" s="706">
        <f t="shared" si="680"/>
        <v>4.31923442166397E-2</v>
      </c>
      <c r="H896" s="706">
        <f t="shared" si="680"/>
        <v>7.3161673260669566E-2</v>
      </c>
      <c r="I896" s="706">
        <f t="shared" si="680"/>
        <v>7.2761542404442506E-2</v>
      </c>
      <c r="J896" s="706">
        <f t="shared" si="680"/>
        <v>9.4194519859803455E-2</v>
      </c>
      <c r="K896" s="706">
        <f t="shared" si="680"/>
        <v>4.4976333005015412E-2</v>
      </c>
      <c r="L896" s="706">
        <f t="shared" si="680"/>
        <v>4.4952302919984553E-2</v>
      </c>
      <c r="M896" s="706">
        <f t="shared" si="680"/>
        <v>4.4931468760916339E-2</v>
      </c>
      <c r="N896" s="706">
        <f t="shared" si="680"/>
        <v>4.4908713681389781E-2</v>
      </c>
      <c r="O896" s="706">
        <f t="shared" si="680"/>
        <v>4.4793795084607402E-2</v>
      </c>
      <c r="P896" s="706">
        <f t="shared" si="680"/>
        <v>4.4714661968453619E-2</v>
      </c>
      <c r="Q896" s="706">
        <f t="shared" si="680"/>
        <v>4.3964899704642214E-2</v>
      </c>
      <c r="R896" s="706">
        <f t="shared" si="680"/>
        <v>2.7370263281706598E-2</v>
      </c>
      <c r="S896" s="706">
        <f t="shared" si="680"/>
        <v>2.7542469198975909E-2</v>
      </c>
      <c r="T896" s="706">
        <f t="shared" si="680"/>
        <v>2.7559687199577763E-2</v>
      </c>
      <c r="U896" s="706">
        <f t="shared" si="680"/>
        <v>2.7429589157154596E-2</v>
      </c>
      <c r="V896" s="706">
        <f t="shared" si="680"/>
        <v>2.5665399874930991E-2</v>
      </c>
      <c r="W896" s="706">
        <f t="shared" si="680"/>
        <v>2.4814219679608202E-2</v>
      </c>
      <c r="X896" s="706">
        <f t="shared" si="680"/>
        <v>2.8345982591828463E-2</v>
      </c>
      <c r="Y896" s="706">
        <f t="shared" si="680"/>
        <v>2.801198033768916E-2</v>
      </c>
      <c r="Z896" s="706">
        <f t="shared" si="680"/>
        <v>2.7302119465039805E-2</v>
      </c>
      <c r="AA896" s="706">
        <f t="shared" si="680"/>
        <v>11.658218701929432</v>
      </c>
      <c r="AB896" s="706">
        <f t="shared" si="680"/>
        <v>11.699035035994505</v>
      </c>
      <c r="AC896" s="706">
        <f t="shared" si="680"/>
        <v>11.694537019268976</v>
      </c>
      <c r="AD896" s="706">
        <f t="shared" si="680"/>
        <v>11.701963358199837</v>
      </c>
      <c r="AE896" s="706">
        <f t="shared" si="680"/>
        <v>11.661928793133049</v>
      </c>
      <c r="AF896" s="706">
        <f t="shared" si="680"/>
        <v>11.700198863054885</v>
      </c>
    </row>
    <row r="897" spans="1:32" x14ac:dyDescent="0.2">
      <c r="A897" s="6">
        <v>19.600000000000001</v>
      </c>
      <c r="C897" s="706">
        <f t="shared" ref="C897:F915" si="681" xml:space="preserve"> C$82 + ((C$83 / 200 * C$82) - $A897 * 0.1 * (C$83 / 200 * C$82))</f>
        <v>8.4596928361868426E-2</v>
      </c>
      <c r="D897" s="706">
        <f t="shared" si="681"/>
        <v>-4.4659898807252366E-2</v>
      </c>
      <c r="E897" s="706">
        <f t="shared" si="681"/>
        <v>6.5194624684694807E-2</v>
      </c>
      <c r="F897" s="706">
        <f t="shared" si="681"/>
        <v>6.1285231638908151E-2</v>
      </c>
      <c r="G897" s="706">
        <f t="shared" si="680"/>
        <v>4.3894557299734349E-2</v>
      </c>
      <c r="H897" s="706">
        <f t="shared" si="680"/>
        <v>7.4174676225089983E-2</v>
      </c>
      <c r="I897" s="706">
        <f t="shared" ref="G897:AF906" si="682" xml:space="preserve"> I$82 + ((I$83 / 200 * I$82) - $A897 * 0.1 * (I$83 / 200 * I$82))</f>
        <v>7.3222677432855349E-2</v>
      </c>
      <c r="J897" s="706">
        <f t="shared" si="682"/>
        <v>9.4657732703150657E-2</v>
      </c>
      <c r="K897" s="706">
        <f t="shared" si="682"/>
        <v>4.4978145569059665E-2</v>
      </c>
      <c r="L897" s="706">
        <f t="shared" si="682"/>
        <v>4.4955060167029368E-2</v>
      </c>
      <c r="M897" s="706">
        <f t="shared" si="682"/>
        <v>4.4934242423453445E-2</v>
      </c>
      <c r="N897" s="706">
        <f t="shared" si="682"/>
        <v>4.4910990446340449E-2</v>
      </c>
      <c r="O897" s="706">
        <f t="shared" si="682"/>
        <v>4.4798808260902698E-2</v>
      </c>
      <c r="P897" s="706">
        <f t="shared" si="682"/>
        <v>4.4717457507691155E-2</v>
      </c>
      <c r="Q897" s="706">
        <f t="shared" si="682"/>
        <v>4.3975863319581733E-2</v>
      </c>
      <c r="R897" s="706">
        <f t="shared" si="682"/>
        <v>2.7382468941151476E-2</v>
      </c>
      <c r="S897" s="706">
        <f t="shared" si="682"/>
        <v>2.7555832880242336E-2</v>
      </c>
      <c r="T897" s="706">
        <f t="shared" si="682"/>
        <v>2.7575685631331094E-2</v>
      </c>
      <c r="U897" s="706">
        <f t="shared" si="682"/>
        <v>2.7458241915370222E-2</v>
      </c>
      <c r="V897" s="706">
        <f t="shared" si="682"/>
        <v>2.571144313355811E-2</v>
      </c>
      <c r="W897" s="706">
        <f t="shared" si="682"/>
        <v>2.4899329252330189E-2</v>
      </c>
      <c r="X897" s="706">
        <f t="shared" si="682"/>
        <v>2.8356838487722129E-2</v>
      </c>
      <c r="Y897" s="706">
        <f t="shared" si="682"/>
        <v>2.8031873726962392E-2</v>
      </c>
      <c r="Z897" s="706">
        <f t="shared" si="682"/>
        <v>2.7326364564005196E-2</v>
      </c>
      <c r="AA897" s="706">
        <f t="shared" si="682"/>
        <v>11.65842948440231</v>
      </c>
      <c r="AB897" s="706">
        <f t="shared" si="682"/>
        <v>11.699263186310217</v>
      </c>
      <c r="AC897" s="706">
        <f t="shared" si="682"/>
        <v>11.694743150269135</v>
      </c>
      <c r="AD897" s="706">
        <f t="shared" si="682"/>
        <v>11.702171117086371</v>
      </c>
      <c r="AE897" s="706">
        <f t="shared" si="682"/>
        <v>11.66214591587622</v>
      </c>
      <c r="AF897" s="706">
        <f t="shared" si="682"/>
        <v>11.700407173543772</v>
      </c>
    </row>
    <row r="898" spans="1:32" x14ac:dyDescent="0.2">
      <c r="A898" s="6">
        <v>19.2</v>
      </c>
      <c r="C898" s="706">
        <f t="shared" si="681"/>
        <v>8.4645190357665268E-2</v>
      </c>
      <c r="D898" s="706">
        <f t="shared" si="681"/>
        <v>-4.137219113968689E-2</v>
      </c>
      <c r="E898" s="706">
        <f t="shared" si="681"/>
        <v>6.5931012961954874E-2</v>
      </c>
      <c r="F898" s="706">
        <f t="shared" si="681"/>
        <v>6.2134730333593347E-2</v>
      </c>
      <c r="G898" s="706">
        <f t="shared" si="682"/>
        <v>4.459853031536809E-2</v>
      </c>
      <c r="H898" s="706">
        <f t="shared" si="682"/>
        <v>7.5190218044057816E-2</v>
      </c>
      <c r="I898" s="706">
        <f t="shared" si="682"/>
        <v>7.3684968188156466E-2</v>
      </c>
      <c r="J898" s="706">
        <f t="shared" si="682"/>
        <v>9.5122106480942353E-2</v>
      </c>
      <c r="K898" s="706">
        <f t="shared" si="682"/>
        <v>4.4979962675870941E-2</v>
      </c>
      <c r="L898" s="706">
        <f t="shared" si="682"/>
        <v>4.4957824324467779E-2</v>
      </c>
      <c r="M898" s="706">
        <f t="shared" si="682"/>
        <v>4.4937023037525732E-2</v>
      </c>
      <c r="N898" s="706">
        <f t="shared" si="682"/>
        <v>4.4913272917468945E-2</v>
      </c>
      <c r="O898" s="706">
        <f t="shared" si="682"/>
        <v>4.4803834001549608E-2</v>
      </c>
      <c r="P898" s="706">
        <f t="shared" si="682"/>
        <v>4.4720260053292701E-2</v>
      </c>
      <c r="Q898" s="706">
        <f t="shared" si="682"/>
        <v>4.3986854412252925E-2</v>
      </c>
      <c r="R898" s="706">
        <f t="shared" si="682"/>
        <v>2.7394705191221533E-2</v>
      </c>
      <c r="S898" s="706">
        <f t="shared" si="682"/>
        <v>2.7569230054444269E-2</v>
      </c>
      <c r="T898" s="706">
        <f t="shared" si="682"/>
        <v>2.7591724159404606E-2</v>
      </c>
      <c r="U898" s="706">
        <f t="shared" si="682"/>
        <v>2.7486966485009947E-2</v>
      </c>
      <c r="V898" s="706">
        <f t="shared" si="682"/>
        <v>2.5757601788823394E-2</v>
      </c>
      <c r="W898" s="706">
        <f t="shared" si="682"/>
        <v>2.4984652132251987E-2</v>
      </c>
      <c r="X898" s="706">
        <f t="shared" si="682"/>
        <v>2.8367721591374927E-2</v>
      </c>
      <c r="Y898" s="706">
        <f t="shared" si="682"/>
        <v>2.8051816974354105E-2</v>
      </c>
      <c r="Z898" s="706">
        <f t="shared" si="682"/>
        <v>2.7350670427629644E-2</v>
      </c>
      <c r="AA898" s="706">
        <f t="shared" si="682"/>
        <v>11.658640795152063</v>
      </c>
      <c r="AB898" s="706">
        <f t="shared" si="682"/>
        <v>11.699491908431231</v>
      </c>
      <c r="AC898" s="706">
        <f t="shared" si="682"/>
        <v>11.694949797888343</v>
      </c>
      <c r="AD898" s="706">
        <f t="shared" si="682"/>
        <v>11.702379396671869</v>
      </c>
      <c r="AE898" s="706">
        <f t="shared" si="682"/>
        <v>11.662363582786668</v>
      </c>
      <c r="AF898" s="706">
        <f t="shared" si="682"/>
        <v>11.700616006114087</v>
      </c>
    </row>
    <row r="899" spans="1:32" x14ac:dyDescent="0.2">
      <c r="A899" s="6">
        <v>18.8</v>
      </c>
      <c r="C899" s="706">
        <f t="shared" si="681"/>
        <v>8.4693452353462123E-2</v>
      </c>
      <c r="D899" s="706">
        <f t="shared" si="681"/>
        <v>-3.8084483472121441E-2</v>
      </c>
      <c r="E899" s="706">
        <f t="shared" si="681"/>
        <v>6.6667401239214927E-2</v>
      </c>
      <c r="F899" s="706">
        <f t="shared" si="681"/>
        <v>6.2984229028278535E-2</v>
      </c>
      <c r="G899" s="706">
        <f t="shared" si="682"/>
        <v>4.5302503331001831E-2</v>
      </c>
      <c r="H899" s="706">
        <f t="shared" si="682"/>
        <v>7.6205759863025649E-2</v>
      </c>
      <c r="I899" s="706">
        <f t="shared" si="682"/>
        <v>7.414725894345757E-2</v>
      </c>
      <c r="J899" s="706">
        <f t="shared" si="682"/>
        <v>9.5586480258734036E-2</v>
      </c>
      <c r="K899" s="706">
        <f t="shared" si="682"/>
        <v>4.4981779782682224E-2</v>
      </c>
      <c r="L899" s="706">
        <f t="shared" si="682"/>
        <v>4.4960588481906191E-2</v>
      </c>
      <c r="M899" s="706">
        <f t="shared" si="682"/>
        <v>4.4939803651598019E-2</v>
      </c>
      <c r="N899" s="706">
        <f t="shared" si="682"/>
        <v>4.4915555388597435E-2</v>
      </c>
      <c r="O899" s="706">
        <f t="shared" si="682"/>
        <v>4.4808859742196519E-2</v>
      </c>
      <c r="P899" s="706">
        <f t="shared" si="682"/>
        <v>4.4723062598894241E-2</v>
      </c>
      <c r="Q899" s="706">
        <f t="shared" si="682"/>
        <v>4.3997845504924124E-2</v>
      </c>
      <c r="R899" s="706">
        <f t="shared" si="682"/>
        <v>2.7406941441291587E-2</v>
      </c>
      <c r="S899" s="706">
        <f t="shared" si="682"/>
        <v>2.7582627228646201E-2</v>
      </c>
      <c r="T899" s="706">
        <f t="shared" si="682"/>
        <v>2.7607762687478117E-2</v>
      </c>
      <c r="U899" s="706">
        <f t="shared" si="682"/>
        <v>2.7515691054649672E-2</v>
      </c>
      <c r="V899" s="706">
        <f t="shared" si="682"/>
        <v>2.5803760444088678E-2</v>
      </c>
      <c r="W899" s="706">
        <f t="shared" si="682"/>
        <v>2.5069975012173777E-2</v>
      </c>
      <c r="X899" s="706">
        <f t="shared" si="682"/>
        <v>2.8378604695027728E-2</v>
      </c>
      <c r="Y899" s="706">
        <f t="shared" si="682"/>
        <v>2.8071760221745814E-2</v>
      </c>
      <c r="Z899" s="706">
        <f t="shared" si="682"/>
        <v>2.7374976291254096E-2</v>
      </c>
      <c r="AA899" s="706">
        <f t="shared" si="682"/>
        <v>11.658852105901817</v>
      </c>
      <c r="AB899" s="706">
        <f t="shared" si="682"/>
        <v>11.699720630552246</v>
      </c>
      <c r="AC899" s="706">
        <f t="shared" si="682"/>
        <v>11.69515644550755</v>
      </c>
      <c r="AD899" s="706">
        <f t="shared" si="682"/>
        <v>11.702587676257366</v>
      </c>
      <c r="AE899" s="706">
        <f t="shared" si="682"/>
        <v>11.662581249697116</v>
      </c>
      <c r="AF899" s="706">
        <f t="shared" si="682"/>
        <v>11.700824838684401</v>
      </c>
    </row>
    <row r="900" spans="1:32" x14ac:dyDescent="0.2">
      <c r="A900" s="6">
        <v>17</v>
      </c>
      <c r="C900" s="706">
        <f t="shared" si="681"/>
        <v>8.4910631334547931E-2</v>
      </c>
      <c r="D900" s="706">
        <f t="shared" si="681"/>
        <v>-2.3289798968076939E-2</v>
      </c>
      <c r="E900" s="706">
        <f t="shared" si="681"/>
        <v>6.9981148486885192E-2</v>
      </c>
      <c r="F900" s="706">
        <f t="shared" si="681"/>
        <v>6.680697315436189E-2</v>
      </c>
      <c r="G900" s="706">
        <f t="shared" si="682"/>
        <v>4.8470381901353637E-2</v>
      </c>
      <c r="H900" s="706">
        <f t="shared" si="682"/>
        <v>8.0775698048380917E-2</v>
      </c>
      <c r="I900" s="706">
        <f t="shared" si="682"/>
        <v>7.6227567342312549E-2</v>
      </c>
      <c r="J900" s="706">
        <f t="shared" si="682"/>
        <v>9.767616225879662E-2</v>
      </c>
      <c r="K900" s="706">
        <f t="shared" si="682"/>
        <v>4.4989956763332985E-2</v>
      </c>
      <c r="L900" s="706">
        <f t="shared" si="682"/>
        <v>4.4973027190379038E-2</v>
      </c>
      <c r="M900" s="706">
        <f t="shared" si="682"/>
        <v>4.4952316414923303E-2</v>
      </c>
      <c r="N900" s="706">
        <f t="shared" si="682"/>
        <v>4.4925826508675652E-2</v>
      </c>
      <c r="O900" s="706">
        <f t="shared" si="682"/>
        <v>4.4831475575107631E-2</v>
      </c>
      <c r="P900" s="706">
        <f t="shared" si="682"/>
        <v>4.4735674054101178E-2</v>
      </c>
      <c r="Q900" s="706">
        <f t="shared" si="682"/>
        <v>4.4047305421944502E-2</v>
      </c>
      <c r="R900" s="706">
        <f t="shared" si="682"/>
        <v>2.7462004566606836E-2</v>
      </c>
      <c r="S900" s="706">
        <f t="shared" si="682"/>
        <v>2.7642914512554892E-2</v>
      </c>
      <c r="T900" s="706">
        <f t="shared" si="682"/>
        <v>2.7679936063808922E-2</v>
      </c>
      <c r="U900" s="706">
        <f t="shared" si="682"/>
        <v>2.7644951618028435E-2</v>
      </c>
      <c r="V900" s="706">
        <f t="shared" si="682"/>
        <v>2.6011474392782452E-2</v>
      </c>
      <c r="W900" s="706">
        <f t="shared" si="682"/>
        <v>2.545392797182185E-2</v>
      </c>
      <c r="X900" s="706">
        <f t="shared" si="682"/>
        <v>2.8427578661465322E-2</v>
      </c>
      <c r="Y900" s="706">
        <f t="shared" si="682"/>
        <v>2.8161504835008511E-2</v>
      </c>
      <c r="Z900" s="706">
        <f t="shared" si="682"/>
        <v>2.7484352677564123E-2</v>
      </c>
      <c r="AA900" s="706">
        <f t="shared" si="682"/>
        <v>11.659803004275703</v>
      </c>
      <c r="AB900" s="706">
        <f t="shared" si="682"/>
        <v>11.700749880096811</v>
      </c>
      <c r="AC900" s="706">
        <f t="shared" si="682"/>
        <v>11.696086359793984</v>
      </c>
      <c r="AD900" s="706">
        <f t="shared" si="682"/>
        <v>11.703524934392107</v>
      </c>
      <c r="AE900" s="706">
        <f t="shared" si="682"/>
        <v>11.663560750794128</v>
      </c>
      <c r="AF900" s="706">
        <f t="shared" si="682"/>
        <v>11.701764585250812</v>
      </c>
    </row>
    <row r="901" spans="1:32" x14ac:dyDescent="0.2">
      <c r="A901" s="6">
        <v>15</v>
      </c>
      <c r="C901" s="706">
        <f t="shared" si="681"/>
        <v>8.5151941313532167E-2</v>
      </c>
      <c r="D901" s="706">
        <f t="shared" si="681"/>
        <v>-6.8512606302496698E-3</v>
      </c>
      <c r="E901" s="706">
        <f t="shared" si="681"/>
        <v>7.3663089873185483E-2</v>
      </c>
      <c r="F901" s="706">
        <f t="shared" si="681"/>
        <v>7.105446662778786E-2</v>
      </c>
      <c r="G901" s="706">
        <f t="shared" si="682"/>
        <v>5.1990246979522314E-2</v>
      </c>
      <c r="H901" s="706">
        <f t="shared" si="682"/>
        <v>8.5853407143220095E-2</v>
      </c>
      <c r="I901" s="706">
        <f t="shared" si="682"/>
        <v>7.8539021118818095E-2</v>
      </c>
      <c r="J901" s="706">
        <f t="shared" si="682"/>
        <v>9.9998031147755059E-2</v>
      </c>
      <c r="K901" s="706">
        <f t="shared" si="682"/>
        <v>4.4999042297389387E-2</v>
      </c>
      <c r="L901" s="706">
        <f t="shared" si="682"/>
        <v>4.4986847977571097E-2</v>
      </c>
      <c r="M901" s="706">
        <f t="shared" si="682"/>
        <v>4.4966219485284738E-2</v>
      </c>
      <c r="N901" s="706">
        <f t="shared" si="682"/>
        <v>4.4937238864318108E-2</v>
      </c>
      <c r="O901" s="706">
        <f t="shared" si="682"/>
        <v>4.4856604278342191E-2</v>
      </c>
      <c r="P901" s="706">
        <f t="shared" si="682"/>
        <v>4.4749686782108888E-2</v>
      </c>
      <c r="Q901" s="706">
        <f t="shared" si="682"/>
        <v>4.4102260885300483E-2</v>
      </c>
      <c r="R901" s="706">
        <f t="shared" si="682"/>
        <v>2.7523185816957115E-2</v>
      </c>
      <c r="S901" s="706">
        <f t="shared" si="682"/>
        <v>2.7709900383564551E-2</v>
      </c>
      <c r="T901" s="706">
        <f t="shared" si="682"/>
        <v>2.7760128704176483E-2</v>
      </c>
      <c r="U901" s="706">
        <f t="shared" si="682"/>
        <v>2.7788574466227064E-2</v>
      </c>
      <c r="V901" s="706">
        <f t="shared" si="682"/>
        <v>2.6242267669108865E-2</v>
      </c>
      <c r="W901" s="706">
        <f t="shared" si="682"/>
        <v>2.588054237143082E-2</v>
      </c>
      <c r="X901" s="706">
        <f t="shared" si="682"/>
        <v>2.8481994179729315E-2</v>
      </c>
      <c r="Y901" s="706">
        <f t="shared" si="682"/>
        <v>2.8261221071967064E-2</v>
      </c>
      <c r="Z901" s="706">
        <f t="shared" si="682"/>
        <v>2.7605881995686376E-2</v>
      </c>
      <c r="AA901" s="706">
        <f t="shared" si="682"/>
        <v>11.660859558024468</v>
      </c>
      <c r="AB901" s="706">
        <f t="shared" si="682"/>
        <v>11.701893490701885</v>
      </c>
      <c r="AC901" s="706">
        <f t="shared" si="682"/>
        <v>11.697119597890021</v>
      </c>
      <c r="AD901" s="706">
        <f t="shared" si="682"/>
        <v>11.704566332319597</v>
      </c>
      <c r="AE901" s="706">
        <f t="shared" si="682"/>
        <v>11.664649085346364</v>
      </c>
      <c r="AF901" s="706">
        <f t="shared" si="682"/>
        <v>11.702808748102381</v>
      </c>
    </row>
    <row r="902" spans="1:32" x14ac:dyDescent="0.2">
      <c r="A902" s="6">
        <v>14</v>
      </c>
      <c r="C902" s="706">
        <f t="shared" si="681"/>
        <v>8.5272596303024292E-2</v>
      </c>
      <c r="D902" s="706">
        <f t="shared" si="681"/>
        <v>1.3680085386639368E-3</v>
      </c>
      <c r="E902" s="706">
        <f t="shared" si="681"/>
        <v>7.5504060566335615E-2</v>
      </c>
      <c r="F902" s="706">
        <f t="shared" si="681"/>
        <v>7.3178213364500824E-2</v>
      </c>
      <c r="G902" s="706">
        <f t="shared" si="682"/>
        <v>5.3750179518606653E-2</v>
      </c>
      <c r="H902" s="706">
        <f t="shared" si="682"/>
        <v>8.8392261690639684E-2</v>
      </c>
      <c r="I902" s="706">
        <f t="shared" si="682"/>
        <v>7.9694748007070854E-2</v>
      </c>
      <c r="J902" s="706">
        <f t="shared" si="682"/>
        <v>0.10115896559223428</v>
      </c>
      <c r="K902" s="706">
        <f t="shared" si="682"/>
        <v>4.5003585064417595E-2</v>
      </c>
      <c r="L902" s="706">
        <f t="shared" si="682"/>
        <v>4.499375837116712E-2</v>
      </c>
      <c r="M902" s="706">
        <f t="shared" si="682"/>
        <v>4.4973171020465448E-2</v>
      </c>
      <c r="N902" s="706">
        <f t="shared" si="682"/>
        <v>4.4942945042139339E-2</v>
      </c>
      <c r="O902" s="706">
        <f t="shared" si="682"/>
        <v>4.4869168629959474E-2</v>
      </c>
      <c r="P902" s="706">
        <f t="shared" si="682"/>
        <v>4.475669314611274E-2</v>
      </c>
      <c r="Q902" s="706">
        <f t="shared" si="682"/>
        <v>4.412973861697847E-2</v>
      </c>
      <c r="R902" s="706">
        <f t="shared" si="682"/>
        <v>2.7553776442132253E-2</v>
      </c>
      <c r="S902" s="706">
        <f t="shared" si="682"/>
        <v>2.774339331906938E-2</v>
      </c>
      <c r="T902" s="706">
        <f t="shared" si="682"/>
        <v>2.7800225024360265E-2</v>
      </c>
      <c r="U902" s="706">
        <f t="shared" si="682"/>
        <v>2.7860385890326377E-2</v>
      </c>
      <c r="V902" s="706">
        <f t="shared" si="682"/>
        <v>2.6357664307272075E-2</v>
      </c>
      <c r="W902" s="706">
        <f t="shared" si="682"/>
        <v>2.6093849571235304E-2</v>
      </c>
      <c r="X902" s="706">
        <f t="shared" si="682"/>
        <v>2.8509201938861313E-2</v>
      </c>
      <c r="Y902" s="706">
        <f t="shared" si="682"/>
        <v>2.8311079190446342E-2</v>
      </c>
      <c r="Z902" s="706">
        <f t="shared" si="682"/>
        <v>2.7666646654747506E-2</v>
      </c>
      <c r="AA902" s="706">
        <f t="shared" si="682"/>
        <v>11.66138783489885</v>
      </c>
      <c r="AB902" s="706">
        <f t="shared" si="682"/>
        <v>11.702465296004419</v>
      </c>
      <c r="AC902" s="706">
        <f t="shared" si="682"/>
        <v>11.697636216938038</v>
      </c>
      <c r="AD902" s="706">
        <f t="shared" si="682"/>
        <v>11.705087031283343</v>
      </c>
      <c r="AE902" s="706">
        <f t="shared" si="682"/>
        <v>11.665193252622482</v>
      </c>
      <c r="AF902" s="706">
        <f t="shared" si="682"/>
        <v>11.703330829528166</v>
      </c>
    </row>
    <row r="903" spans="1:32" x14ac:dyDescent="0.2">
      <c r="A903" s="6">
        <v>13</v>
      </c>
      <c r="C903" s="706">
        <f t="shared" si="681"/>
        <v>8.5393251292516403E-2</v>
      </c>
      <c r="D903" s="706">
        <f t="shared" si="681"/>
        <v>9.5872777075775711E-3</v>
      </c>
      <c r="E903" s="706">
        <f t="shared" si="681"/>
        <v>7.7345031259485761E-2</v>
      </c>
      <c r="F903" s="706">
        <f t="shared" si="681"/>
        <v>7.5301960101213802E-2</v>
      </c>
      <c r="G903" s="706">
        <f t="shared" si="682"/>
        <v>5.5510112057690998E-2</v>
      </c>
      <c r="H903" s="706">
        <f t="shared" si="682"/>
        <v>9.0931116238059273E-2</v>
      </c>
      <c r="I903" s="706">
        <f t="shared" si="682"/>
        <v>8.0850474895323626E-2</v>
      </c>
      <c r="J903" s="706">
        <f t="shared" si="682"/>
        <v>0.1023199000367135</v>
      </c>
      <c r="K903" s="706">
        <f t="shared" si="682"/>
        <v>4.5008127831445796E-2</v>
      </c>
      <c r="L903" s="706">
        <f t="shared" si="682"/>
        <v>4.5000668764763149E-2</v>
      </c>
      <c r="M903" s="706">
        <f t="shared" si="682"/>
        <v>4.4980122555646165E-2</v>
      </c>
      <c r="N903" s="706">
        <f t="shared" si="682"/>
        <v>4.494865121996057E-2</v>
      </c>
      <c r="O903" s="706">
        <f t="shared" si="682"/>
        <v>4.4881732981576758E-2</v>
      </c>
      <c r="P903" s="706">
        <f t="shared" si="682"/>
        <v>4.4763699510116599E-2</v>
      </c>
      <c r="Q903" s="706">
        <f t="shared" si="682"/>
        <v>4.4157216348656464E-2</v>
      </c>
      <c r="R903" s="706">
        <f t="shared" si="682"/>
        <v>2.7584367067307391E-2</v>
      </c>
      <c r="S903" s="706">
        <f t="shared" si="682"/>
        <v>2.777688625457421E-2</v>
      </c>
      <c r="T903" s="706">
        <f t="shared" si="682"/>
        <v>2.7840321344544044E-2</v>
      </c>
      <c r="U903" s="706">
        <f t="shared" si="682"/>
        <v>2.7932197314425689E-2</v>
      </c>
      <c r="V903" s="706">
        <f t="shared" si="682"/>
        <v>2.6473060945435282E-2</v>
      </c>
      <c r="W903" s="706">
        <f t="shared" si="682"/>
        <v>2.6307156771039786E-2</v>
      </c>
      <c r="X903" s="706">
        <f t="shared" si="682"/>
        <v>2.8536409697993311E-2</v>
      </c>
      <c r="Y903" s="706">
        <f t="shared" si="682"/>
        <v>2.8360937308925617E-2</v>
      </c>
      <c r="Z903" s="706">
        <f t="shared" si="682"/>
        <v>2.7727411313808632E-2</v>
      </c>
      <c r="AA903" s="706">
        <f t="shared" si="682"/>
        <v>11.661916111773232</v>
      </c>
      <c r="AB903" s="706">
        <f t="shared" si="682"/>
        <v>11.703037101306956</v>
      </c>
      <c r="AC903" s="706">
        <f t="shared" si="682"/>
        <v>11.698152835986058</v>
      </c>
      <c r="AD903" s="706">
        <f t="shared" si="682"/>
        <v>11.705607730247088</v>
      </c>
      <c r="AE903" s="706">
        <f t="shared" si="682"/>
        <v>11.665737419898599</v>
      </c>
      <c r="AF903" s="706">
        <f t="shared" si="682"/>
        <v>11.70385291095395</v>
      </c>
    </row>
    <row r="904" spans="1:32" x14ac:dyDescent="0.2">
      <c r="A904" s="6">
        <v>12</v>
      </c>
      <c r="C904" s="706">
        <f t="shared" si="681"/>
        <v>8.5513906282008528E-2</v>
      </c>
      <c r="D904" s="706">
        <f t="shared" si="681"/>
        <v>1.7806546876491192E-2</v>
      </c>
      <c r="E904" s="706">
        <f t="shared" si="681"/>
        <v>7.9186001952635907E-2</v>
      </c>
      <c r="F904" s="706">
        <f t="shared" si="681"/>
        <v>7.742570683792678E-2</v>
      </c>
      <c r="G904" s="706">
        <f t="shared" si="682"/>
        <v>5.7270044596775337E-2</v>
      </c>
      <c r="H904" s="706">
        <f t="shared" si="682"/>
        <v>9.3469970785478862E-2</v>
      </c>
      <c r="I904" s="706">
        <f t="shared" si="682"/>
        <v>8.2006201783576399E-2</v>
      </c>
      <c r="J904" s="706">
        <f t="shared" si="682"/>
        <v>0.1034808344811927</v>
      </c>
      <c r="K904" s="706">
        <f t="shared" si="682"/>
        <v>4.5012670598473997E-2</v>
      </c>
      <c r="L904" s="706">
        <f t="shared" si="682"/>
        <v>4.5007579158359179E-2</v>
      </c>
      <c r="M904" s="706">
        <f t="shared" si="682"/>
        <v>4.4987074090826883E-2</v>
      </c>
      <c r="N904" s="706">
        <f t="shared" si="682"/>
        <v>4.4954357397781794E-2</v>
      </c>
      <c r="O904" s="706">
        <f t="shared" si="682"/>
        <v>4.4894297333194035E-2</v>
      </c>
      <c r="P904" s="706">
        <f t="shared" si="682"/>
        <v>4.4770705874120451E-2</v>
      </c>
      <c r="Q904" s="706">
        <f t="shared" si="682"/>
        <v>4.4184694080334451E-2</v>
      </c>
      <c r="R904" s="706">
        <f t="shared" si="682"/>
        <v>2.7614957692482532E-2</v>
      </c>
      <c r="S904" s="706">
        <f t="shared" si="682"/>
        <v>2.7810379190079039E-2</v>
      </c>
      <c r="T904" s="706">
        <f t="shared" si="682"/>
        <v>2.7880417664727826E-2</v>
      </c>
      <c r="U904" s="706">
        <f t="shared" si="682"/>
        <v>2.8004008738525002E-2</v>
      </c>
      <c r="V904" s="706">
        <f t="shared" si="682"/>
        <v>2.6588457583598488E-2</v>
      </c>
      <c r="W904" s="706">
        <f t="shared" si="682"/>
        <v>2.6520463970844271E-2</v>
      </c>
      <c r="X904" s="706">
        <f t="shared" si="682"/>
        <v>2.8563617457125309E-2</v>
      </c>
      <c r="Y904" s="706">
        <f t="shared" si="682"/>
        <v>2.8410795427404895E-2</v>
      </c>
      <c r="Z904" s="706">
        <f t="shared" si="682"/>
        <v>2.7788175972869759E-2</v>
      </c>
      <c r="AA904" s="706">
        <f t="shared" si="682"/>
        <v>11.662444388647614</v>
      </c>
      <c r="AB904" s="706">
        <f t="shared" si="682"/>
        <v>11.703608906609492</v>
      </c>
      <c r="AC904" s="706">
        <f t="shared" si="682"/>
        <v>11.698669455034075</v>
      </c>
      <c r="AD904" s="706">
        <f t="shared" si="682"/>
        <v>11.706128429210832</v>
      </c>
      <c r="AE904" s="706">
        <f t="shared" si="682"/>
        <v>11.666281587174717</v>
      </c>
      <c r="AF904" s="706">
        <f t="shared" si="682"/>
        <v>11.704374992379735</v>
      </c>
    </row>
    <row r="905" spans="1:32" x14ac:dyDescent="0.2">
      <c r="A905" s="6">
        <v>11</v>
      </c>
      <c r="C905" s="706">
        <f t="shared" si="681"/>
        <v>8.5634561271500639E-2</v>
      </c>
      <c r="D905" s="706">
        <f t="shared" si="681"/>
        <v>2.6025816045404812E-2</v>
      </c>
      <c r="E905" s="706">
        <f t="shared" si="681"/>
        <v>8.1026972645786052E-2</v>
      </c>
      <c r="F905" s="706">
        <f t="shared" si="681"/>
        <v>7.9549453574639759E-2</v>
      </c>
      <c r="G905" s="706">
        <f t="shared" si="682"/>
        <v>5.9029977135859682E-2</v>
      </c>
      <c r="H905" s="706">
        <f t="shared" si="682"/>
        <v>9.6008825332898451E-2</v>
      </c>
      <c r="I905" s="706">
        <f t="shared" si="682"/>
        <v>8.3161928671829158E-2</v>
      </c>
      <c r="J905" s="706">
        <f t="shared" si="682"/>
        <v>0.10464176892567192</v>
      </c>
      <c r="K905" s="706">
        <f t="shared" si="682"/>
        <v>4.5017213365502198E-2</v>
      </c>
      <c r="L905" s="706">
        <f t="shared" si="682"/>
        <v>4.5014489551955202E-2</v>
      </c>
      <c r="M905" s="706">
        <f t="shared" si="682"/>
        <v>4.4994025626007593E-2</v>
      </c>
      <c r="N905" s="706">
        <f t="shared" si="682"/>
        <v>4.4960063575603025E-2</v>
      </c>
      <c r="O905" s="706">
        <f t="shared" si="682"/>
        <v>4.4906861684811318E-2</v>
      </c>
      <c r="P905" s="706">
        <f t="shared" si="682"/>
        <v>4.4777712238124309E-2</v>
      </c>
      <c r="Q905" s="706">
        <f t="shared" si="682"/>
        <v>4.4212171812012445E-2</v>
      </c>
      <c r="R905" s="706">
        <f t="shared" si="682"/>
        <v>2.764554831765767E-2</v>
      </c>
      <c r="S905" s="706">
        <f t="shared" si="682"/>
        <v>2.7843872125583868E-2</v>
      </c>
      <c r="T905" s="706">
        <f t="shared" si="682"/>
        <v>2.7920513984911605E-2</v>
      </c>
      <c r="U905" s="706">
        <f t="shared" si="682"/>
        <v>2.8075820162624318E-2</v>
      </c>
      <c r="V905" s="706">
        <f t="shared" si="682"/>
        <v>2.6703854221761698E-2</v>
      </c>
      <c r="W905" s="706">
        <f t="shared" si="682"/>
        <v>2.6733771170648755E-2</v>
      </c>
      <c r="X905" s="706">
        <f t="shared" si="682"/>
        <v>2.8590825216257304E-2</v>
      </c>
      <c r="Y905" s="706">
        <f t="shared" si="682"/>
        <v>2.846065354588417E-2</v>
      </c>
      <c r="Z905" s="706">
        <f t="shared" si="682"/>
        <v>2.7848940631930885E-2</v>
      </c>
      <c r="AA905" s="706">
        <f t="shared" si="682"/>
        <v>11.662972665521997</v>
      </c>
      <c r="AB905" s="706">
        <f t="shared" si="682"/>
        <v>11.704180711912029</v>
      </c>
      <c r="AC905" s="706">
        <f t="shared" si="682"/>
        <v>11.699186074082094</v>
      </c>
      <c r="AD905" s="706">
        <f t="shared" si="682"/>
        <v>11.706649128174577</v>
      </c>
      <c r="AE905" s="706">
        <f t="shared" si="682"/>
        <v>11.666825754450835</v>
      </c>
      <c r="AF905" s="706">
        <f t="shared" si="682"/>
        <v>11.704897073805519</v>
      </c>
    </row>
    <row r="906" spans="1:32" x14ac:dyDescent="0.2">
      <c r="A906" s="6">
        <v>9</v>
      </c>
      <c r="C906" s="706">
        <f t="shared" si="681"/>
        <v>8.5875871250484889E-2</v>
      </c>
      <c r="D906" s="706">
        <f t="shared" si="681"/>
        <v>4.2464354383232067E-2</v>
      </c>
      <c r="E906" s="706">
        <f t="shared" si="681"/>
        <v>8.4708914032086344E-2</v>
      </c>
      <c r="F906" s="706">
        <f t="shared" si="681"/>
        <v>8.3796947048065715E-2</v>
      </c>
      <c r="G906" s="706">
        <f t="shared" si="682"/>
        <v>6.2549842214028359E-2</v>
      </c>
      <c r="H906" s="706">
        <f t="shared" si="682"/>
        <v>0.10108653442773763</v>
      </c>
      <c r="I906" s="706">
        <f t="shared" si="682"/>
        <v>8.5473382448334703E-2</v>
      </c>
      <c r="J906" s="706">
        <f t="shared" si="682"/>
        <v>0.10696363781463036</v>
      </c>
      <c r="K906" s="706">
        <f t="shared" si="682"/>
        <v>4.5026298899558601E-2</v>
      </c>
      <c r="L906" s="706">
        <f t="shared" si="682"/>
        <v>4.5028310339147261E-2</v>
      </c>
      <c r="M906" s="706">
        <f t="shared" si="682"/>
        <v>4.5007928696369028E-2</v>
      </c>
      <c r="N906" s="706">
        <f t="shared" si="682"/>
        <v>4.4971475931245487E-2</v>
      </c>
      <c r="O906" s="706">
        <f t="shared" si="682"/>
        <v>4.4931990388045885E-2</v>
      </c>
      <c r="P906" s="706">
        <f t="shared" si="682"/>
        <v>4.4791724966132013E-2</v>
      </c>
      <c r="Q906" s="706">
        <f t="shared" si="682"/>
        <v>4.4267127275368419E-2</v>
      </c>
      <c r="R906" s="706">
        <f t="shared" si="682"/>
        <v>2.7706729568007946E-2</v>
      </c>
      <c r="S906" s="706">
        <f t="shared" si="682"/>
        <v>2.7910857996593527E-2</v>
      </c>
      <c r="T906" s="706">
        <f t="shared" si="682"/>
        <v>2.8000706625279169E-2</v>
      </c>
      <c r="U906" s="706">
        <f t="shared" si="682"/>
        <v>2.8219443010822944E-2</v>
      </c>
      <c r="V906" s="706">
        <f t="shared" si="682"/>
        <v>2.6934647498088111E-2</v>
      </c>
      <c r="W906" s="706">
        <f t="shared" si="682"/>
        <v>2.7160385570257725E-2</v>
      </c>
      <c r="X906" s="706">
        <f t="shared" si="682"/>
        <v>2.86452407345213E-2</v>
      </c>
      <c r="Y906" s="706">
        <f t="shared" si="682"/>
        <v>2.8560369782842727E-2</v>
      </c>
      <c r="Z906" s="706">
        <f t="shared" si="682"/>
        <v>2.7970469950053138E-2</v>
      </c>
      <c r="AA906" s="706">
        <f t="shared" si="682"/>
        <v>11.664029219270761</v>
      </c>
      <c r="AB906" s="706">
        <f t="shared" si="682"/>
        <v>11.705324322517102</v>
      </c>
      <c r="AC906" s="706">
        <f t="shared" si="682"/>
        <v>11.700219312178129</v>
      </c>
      <c r="AD906" s="706">
        <f t="shared" ref="G906:AF915" si="683" xml:space="preserve"> AD$82 + ((AD$83 / 200 * AD$82) - $A906 * 0.1 * (AD$83 / 200 * AD$82))</f>
        <v>11.707690526102068</v>
      </c>
      <c r="AE906" s="706">
        <f t="shared" si="683"/>
        <v>11.667914089003071</v>
      </c>
      <c r="AF906" s="706">
        <f t="shared" si="683"/>
        <v>11.70594123665709</v>
      </c>
    </row>
    <row r="907" spans="1:32" x14ac:dyDescent="0.2">
      <c r="A907" s="6">
        <v>8</v>
      </c>
      <c r="C907" s="706">
        <f t="shared" si="681"/>
        <v>8.5996526239977E-2</v>
      </c>
      <c r="D907" s="706">
        <f t="shared" si="681"/>
        <v>5.0683623552145687E-2</v>
      </c>
      <c r="E907" s="706">
        <f t="shared" si="681"/>
        <v>8.6549884725236489E-2</v>
      </c>
      <c r="F907" s="706">
        <f t="shared" si="681"/>
        <v>8.5920693784778693E-2</v>
      </c>
      <c r="G907" s="706">
        <f t="shared" si="683"/>
        <v>6.4309774753112697E-2</v>
      </c>
      <c r="H907" s="706">
        <f t="shared" si="683"/>
        <v>0.10362538897515722</v>
      </c>
      <c r="I907" s="706">
        <f t="shared" si="683"/>
        <v>8.6629109336587462E-2</v>
      </c>
      <c r="J907" s="706">
        <f t="shared" si="683"/>
        <v>0.10812457225910957</v>
      </c>
      <c r="K907" s="706">
        <f t="shared" si="683"/>
        <v>4.5030841666586802E-2</v>
      </c>
      <c r="L907" s="706">
        <f t="shared" si="683"/>
        <v>4.5035220732743284E-2</v>
      </c>
      <c r="M907" s="706">
        <f t="shared" si="683"/>
        <v>4.5014880231549738E-2</v>
      </c>
      <c r="N907" s="706">
        <f t="shared" si="683"/>
        <v>4.4977182109066718E-2</v>
      </c>
      <c r="O907" s="706">
        <f t="shared" si="683"/>
        <v>4.4944554739663169E-2</v>
      </c>
      <c r="P907" s="706">
        <f t="shared" si="683"/>
        <v>4.4798731330135871E-2</v>
      </c>
      <c r="Q907" s="706">
        <f t="shared" si="683"/>
        <v>4.4294605007046413E-2</v>
      </c>
      <c r="R907" s="706">
        <f t="shared" si="683"/>
        <v>2.7737320193183083E-2</v>
      </c>
      <c r="S907" s="706">
        <f t="shared" si="683"/>
        <v>2.7944350932098357E-2</v>
      </c>
      <c r="T907" s="706">
        <f t="shared" si="683"/>
        <v>2.8040802945462948E-2</v>
      </c>
      <c r="U907" s="706">
        <f t="shared" si="683"/>
        <v>2.8291254434922256E-2</v>
      </c>
      <c r="V907" s="706">
        <f t="shared" si="683"/>
        <v>2.7050044136251322E-2</v>
      </c>
      <c r="W907" s="706">
        <f t="shared" si="683"/>
        <v>2.737369277006221E-2</v>
      </c>
      <c r="X907" s="706">
        <f t="shared" si="683"/>
        <v>2.8672448493653295E-2</v>
      </c>
      <c r="Y907" s="706">
        <f t="shared" si="683"/>
        <v>2.8610227901322002E-2</v>
      </c>
      <c r="Z907" s="706">
        <f t="shared" si="683"/>
        <v>2.8031234609114265E-2</v>
      </c>
      <c r="AA907" s="706">
        <f t="shared" si="683"/>
        <v>11.664557496145143</v>
      </c>
      <c r="AB907" s="706">
        <f t="shared" si="683"/>
        <v>11.705896127819639</v>
      </c>
      <c r="AC907" s="706">
        <f t="shared" si="683"/>
        <v>11.700735931226149</v>
      </c>
      <c r="AD907" s="706">
        <f t="shared" si="683"/>
        <v>11.708211225065813</v>
      </c>
      <c r="AE907" s="706">
        <f t="shared" si="683"/>
        <v>11.668458256279189</v>
      </c>
      <c r="AF907" s="706">
        <f t="shared" si="683"/>
        <v>11.706463318082873</v>
      </c>
    </row>
    <row r="908" spans="1:32" x14ac:dyDescent="0.2">
      <c r="A908" s="6">
        <v>6</v>
      </c>
      <c r="C908" s="706">
        <f t="shared" si="681"/>
        <v>8.6237836218961236E-2</v>
      </c>
      <c r="D908" s="706">
        <f t="shared" si="681"/>
        <v>6.7122161889972942E-2</v>
      </c>
      <c r="E908" s="706">
        <f t="shared" si="681"/>
        <v>9.0231826111536767E-2</v>
      </c>
      <c r="F908" s="706">
        <f t="shared" si="681"/>
        <v>9.0168187258204649E-2</v>
      </c>
      <c r="G908" s="706">
        <f t="shared" si="683"/>
        <v>6.7829639831281374E-2</v>
      </c>
      <c r="H908" s="706">
        <f t="shared" si="683"/>
        <v>0.1087030980699964</v>
      </c>
      <c r="I908" s="706">
        <f t="shared" si="683"/>
        <v>8.8940563113093007E-2</v>
      </c>
      <c r="J908" s="706">
        <f t="shared" si="683"/>
        <v>0.11044644114806801</v>
      </c>
      <c r="K908" s="706">
        <f t="shared" si="683"/>
        <v>4.5039927200643204E-2</v>
      </c>
      <c r="L908" s="706">
        <f t="shared" si="683"/>
        <v>4.5049041519935343E-2</v>
      </c>
      <c r="M908" s="706">
        <f t="shared" si="683"/>
        <v>4.5028783301911172E-2</v>
      </c>
      <c r="N908" s="706">
        <f t="shared" si="683"/>
        <v>4.4988594464709174E-2</v>
      </c>
      <c r="O908" s="706">
        <f t="shared" si="683"/>
        <v>4.4969683442897729E-2</v>
      </c>
      <c r="P908" s="706">
        <f t="shared" si="683"/>
        <v>4.4812744058143582E-2</v>
      </c>
      <c r="Q908" s="706">
        <f t="shared" si="683"/>
        <v>4.4349560470402394E-2</v>
      </c>
      <c r="R908" s="706">
        <f t="shared" si="683"/>
        <v>2.7798501443533363E-2</v>
      </c>
      <c r="S908" s="706">
        <f t="shared" si="683"/>
        <v>2.8011336803108015E-2</v>
      </c>
      <c r="T908" s="706">
        <f t="shared" si="683"/>
        <v>2.8120995585830508E-2</v>
      </c>
      <c r="U908" s="706">
        <f t="shared" si="683"/>
        <v>2.8434877283120885E-2</v>
      </c>
      <c r="V908" s="706">
        <f t="shared" si="683"/>
        <v>2.7280837412577735E-2</v>
      </c>
      <c r="W908" s="706">
        <f t="shared" si="683"/>
        <v>2.7800307169671176E-2</v>
      </c>
      <c r="X908" s="706">
        <f t="shared" si="683"/>
        <v>2.8726864011917291E-2</v>
      </c>
      <c r="Y908" s="706">
        <f t="shared" si="683"/>
        <v>2.8709944138280555E-2</v>
      </c>
      <c r="Z908" s="706">
        <f t="shared" si="683"/>
        <v>2.8152763927236518E-2</v>
      </c>
      <c r="AA908" s="706">
        <f t="shared" si="683"/>
        <v>11.665614049893907</v>
      </c>
      <c r="AB908" s="706">
        <f t="shared" si="683"/>
        <v>11.707039738424712</v>
      </c>
      <c r="AC908" s="706">
        <f t="shared" si="683"/>
        <v>11.701769169322185</v>
      </c>
      <c r="AD908" s="706">
        <f t="shared" si="683"/>
        <v>11.709252622993302</v>
      </c>
      <c r="AE908" s="706">
        <f t="shared" si="683"/>
        <v>11.669546590831425</v>
      </c>
      <c r="AF908" s="706">
        <f t="shared" si="683"/>
        <v>11.707507480934442</v>
      </c>
    </row>
    <row r="909" spans="1:32" x14ac:dyDescent="0.2">
      <c r="A909" s="6">
        <v>5</v>
      </c>
      <c r="C909" s="706">
        <f t="shared" si="681"/>
        <v>8.6358491208453361E-2</v>
      </c>
      <c r="D909" s="706">
        <f t="shared" si="681"/>
        <v>7.5341431058886563E-2</v>
      </c>
      <c r="E909" s="706">
        <f t="shared" si="681"/>
        <v>9.2072796804686913E-2</v>
      </c>
      <c r="F909" s="706">
        <f t="shared" si="681"/>
        <v>9.2291933994917627E-2</v>
      </c>
      <c r="G909" s="706">
        <f t="shared" si="683"/>
        <v>6.9589572370365727E-2</v>
      </c>
      <c r="H909" s="706">
        <f t="shared" si="683"/>
        <v>0.11124195261741598</v>
      </c>
      <c r="I909" s="706">
        <f t="shared" si="683"/>
        <v>9.0096290001345766E-2</v>
      </c>
      <c r="J909" s="706">
        <f t="shared" si="683"/>
        <v>0.11160737559254723</v>
      </c>
      <c r="K909" s="706">
        <f t="shared" si="683"/>
        <v>4.5044469967671412E-2</v>
      </c>
      <c r="L909" s="706">
        <f t="shared" si="683"/>
        <v>4.5055951913531365E-2</v>
      </c>
      <c r="M909" s="706">
        <f t="shared" si="683"/>
        <v>4.5035734837091883E-2</v>
      </c>
      <c r="N909" s="706">
        <f t="shared" si="683"/>
        <v>4.4994300642530405E-2</v>
      </c>
      <c r="O909" s="706">
        <f t="shared" si="683"/>
        <v>4.4982247794515012E-2</v>
      </c>
      <c r="P909" s="706">
        <f t="shared" si="683"/>
        <v>4.4819750422147434E-2</v>
      </c>
      <c r="Q909" s="706">
        <f t="shared" si="683"/>
        <v>4.4377038202080381E-2</v>
      </c>
      <c r="R909" s="706">
        <f t="shared" si="683"/>
        <v>2.78290920687085E-2</v>
      </c>
      <c r="S909" s="706">
        <f t="shared" si="683"/>
        <v>2.8044829738612845E-2</v>
      </c>
      <c r="T909" s="706">
        <f t="shared" si="683"/>
        <v>2.8161091906014291E-2</v>
      </c>
      <c r="U909" s="706">
        <f t="shared" si="683"/>
        <v>2.8506688707220198E-2</v>
      </c>
      <c r="V909" s="706">
        <f t="shared" si="683"/>
        <v>2.7396234050740945E-2</v>
      </c>
      <c r="W909" s="706">
        <f t="shared" si="683"/>
        <v>2.8013614369475661E-2</v>
      </c>
      <c r="X909" s="706">
        <f t="shared" si="683"/>
        <v>2.8754071771049289E-2</v>
      </c>
      <c r="Y909" s="706">
        <f t="shared" si="683"/>
        <v>2.8759802256759833E-2</v>
      </c>
      <c r="Z909" s="706">
        <f t="shared" si="683"/>
        <v>2.8213528586297647E-2</v>
      </c>
      <c r="AA909" s="706">
        <f t="shared" si="683"/>
        <v>11.66614232676829</v>
      </c>
      <c r="AB909" s="706">
        <f t="shared" si="683"/>
        <v>11.707611543727246</v>
      </c>
      <c r="AC909" s="706">
        <f t="shared" si="683"/>
        <v>11.702285788370203</v>
      </c>
      <c r="AD909" s="706">
        <f t="shared" si="683"/>
        <v>11.709773321957048</v>
      </c>
      <c r="AE909" s="706">
        <f t="shared" si="683"/>
        <v>11.670090758107543</v>
      </c>
      <c r="AF909" s="706">
        <f t="shared" si="683"/>
        <v>11.708029562360228</v>
      </c>
    </row>
    <row r="910" spans="1:32" x14ac:dyDescent="0.2">
      <c r="A910" s="6">
        <v>4</v>
      </c>
      <c r="C910" s="706">
        <f t="shared" si="681"/>
        <v>8.6479146197945472E-2</v>
      </c>
      <c r="D910" s="706">
        <f t="shared" si="681"/>
        <v>8.3560700227800183E-2</v>
      </c>
      <c r="E910" s="706">
        <f t="shared" si="681"/>
        <v>9.3913767497837058E-2</v>
      </c>
      <c r="F910" s="706">
        <f t="shared" si="681"/>
        <v>9.4415680731630605E-2</v>
      </c>
      <c r="G910" s="706">
        <f t="shared" si="683"/>
        <v>7.1349504909450065E-2</v>
      </c>
      <c r="H910" s="706">
        <f t="shared" si="683"/>
        <v>0.11378080716483557</v>
      </c>
      <c r="I910" s="706">
        <f t="shared" si="683"/>
        <v>9.1252016889598539E-2</v>
      </c>
      <c r="J910" s="706">
        <f t="shared" si="683"/>
        <v>0.11276831003702645</v>
      </c>
      <c r="K910" s="706">
        <f t="shared" si="683"/>
        <v>4.5049012734699613E-2</v>
      </c>
      <c r="L910" s="706">
        <f t="shared" si="683"/>
        <v>4.5062862307127395E-2</v>
      </c>
      <c r="M910" s="706">
        <f t="shared" si="683"/>
        <v>4.50426863722726E-2</v>
      </c>
      <c r="N910" s="706">
        <f t="shared" si="683"/>
        <v>4.5000006820351636E-2</v>
      </c>
      <c r="O910" s="706">
        <f t="shared" si="683"/>
        <v>4.4994812146132296E-2</v>
      </c>
      <c r="P910" s="706">
        <f t="shared" si="683"/>
        <v>4.4826756786151285E-2</v>
      </c>
      <c r="Q910" s="706">
        <f t="shared" si="683"/>
        <v>4.4404515933758368E-2</v>
      </c>
      <c r="R910" s="706">
        <f t="shared" si="683"/>
        <v>2.7859682693883638E-2</v>
      </c>
      <c r="S910" s="706">
        <f t="shared" si="683"/>
        <v>2.8078322674117674E-2</v>
      </c>
      <c r="T910" s="706">
        <f t="shared" si="683"/>
        <v>2.8201188226198069E-2</v>
      </c>
      <c r="U910" s="706">
        <f t="shared" si="683"/>
        <v>2.8578500131319511E-2</v>
      </c>
      <c r="V910" s="706">
        <f t="shared" si="683"/>
        <v>2.7511630688904151E-2</v>
      </c>
      <c r="W910" s="706">
        <f t="shared" si="683"/>
        <v>2.8226921569280146E-2</v>
      </c>
      <c r="X910" s="706">
        <f t="shared" si="683"/>
        <v>2.8781279530181284E-2</v>
      </c>
      <c r="Y910" s="706">
        <f t="shared" si="683"/>
        <v>2.8809660375239108E-2</v>
      </c>
      <c r="Z910" s="706">
        <f t="shared" si="683"/>
        <v>2.8274293245358774E-2</v>
      </c>
      <c r="AA910" s="706">
        <f t="shared" si="683"/>
        <v>11.666670603642672</v>
      </c>
      <c r="AB910" s="706">
        <f t="shared" si="683"/>
        <v>11.708183349029783</v>
      </c>
      <c r="AC910" s="706">
        <f t="shared" si="683"/>
        <v>11.702802407418222</v>
      </c>
      <c r="AD910" s="706">
        <f t="shared" si="683"/>
        <v>11.710294020920793</v>
      </c>
      <c r="AE910" s="706">
        <f t="shared" si="683"/>
        <v>11.670634925383661</v>
      </c>
      <c r="AF910" s="706">
        <f t="shared" si="683"/>
        <v>11.708551643786011</v>
      </c>
    </row>
    <row r="911" spans="1:32" x14ac:dyDescent="0.2">
      <c r="A911" s="6">
        <v>3</v>
      </c>
      <c r="C911" s="706">
        <f t="shared" si="681"/>
        <v>8.6599801187437597E-2</v>
      </c>
      <c r="D911" s="706">
        <f t="shared" si="681"/>
        <v>9.1779969396713804E-2</v>
      </c>
      <c r="E911" s="706">
        <f t="shared" si="681"/>
        <v>9.5754738190987204E-2</v>
      </c>
      <c r="F911" s="706">
        <f t="shared" si="681"/>
        <v>9.6539427468343569E-2</v>
      </c>
      <c r="G911" s="706">
        <f t="shared" si="683"/>
        <v>7.3109437448534403E-2</v>
      </c>
      <c r="H911" s="706">
        <f t="shared" si="683"/>
        <v>0.11631966171225516</v>
      </c>
      <c r="I911" s="706">
        <f t="shared" si="683"/>
        <v>9.2407743777851312E-2</v>
      </c>
      <c r="J911" s="706">
        <f t="shared" si="683"/>
        <v>0.11392924448150565</v>
      </c>
      <c r="K911" s="706">
        <f t="shared" si="683"/>
        <v>4.5053555501727814E-2</v>
      </c>
      <c r="L911" s="706">
        <f t="shared" si="683"/>
        <v>4.5069772700723425E-2</v>
      </c>
      <c r="M911" s="706">
        <f t="shared" si="683"/>
        <v>4.5049637907453317E-2</v>
      </c>
      <c r="N911" s="706">
        <f t="shared" si="683"/>
        <v>4.500571299817286E-2</v>
      </c>
      <c r="O911" s="706">
        <f t="shared" si="683"/>
        <v>4.5007376497749572E-2</v>
      </c>
      <c r="P911" s="706">
        <f t="shared" si="683"/>
        <v>4.4833763150155144E-2</v>
      </c>
      <c r="Q911" s="706">
        <f t="shared" si="683"/>
        <v>4.4431993665436362E-2</v>
      </c>
      <c r="R911" s="706">
        <f t="shared" si="683"/>
        <v>2.789027331905878E-2</v>
      </c>
      <c r="S911" s="706">
        <f t="shared" si="683"/>
        <v>2.8111815609622504E-2</v>
      </c>
      <c r="T911" s="706">
        <f t="shared" si="683"/>
        <v>2.8241284546381851E-2</v>
      </c>
      <c r="U911" s="706">
        <f t="shared" si="683"/>
        <v>2.8650311555418827E-2</v>
      </c>
      <c r="V911" s="706">
        <f t="shared" si="683"/>
        <v>2.7627027327067358E-2</v>
      </c>
      <c r="W911" s="706">
        <f t="shared" si="683"/>
        <v>2.8440228769084631E-2</v>
      </c>
      <c r="X911" s="706">
        <f t="shared" si="683"/>
        <v>2.8808487289313282E-2</v>
      </c>
      <c r="Y911" s="706">
        <f t="shared" si="683"/>
        <v>2.8859518493718386E-2</v>
      </c>
      <c r="Z911" s="706">
        <f t="shared" si="683"/>
        <v>2.83350579044199E-2</v>
      </c>
      <c r="AA911" s="706">
        <f t="shared" si="683"/>
        <v>11.667198880517054</v>
      </c>
      <c r="AB911" s="706">
        <f t="shared" si="683"/>
        <v>11.708755154332319</v>
      </c>
      <c r="AC911" s="706">
        <f t="shared" si="683"/>
        <v>11.703319026466239</v>
      </c>
      <c r="AD911" s="706">
        <f t="shared" si="683"/>
        <v>11.710814719884539</v>
      </c>
      <c r="AE911" s="706">
        <f t="shared" si="683"/>
        <v>11.671179092659779</v>
      </c>
      <c r="AF911" s="706">
        <f t="shared" si="683"/>
        <v>11.709073725211796</v>
      </c>
    </row>
    <row r="912" spans="1:32" x14ac:dyDescent="0.2">
      <c r="A912" s="6">
        <v>1.2</v>
      </c>
      <c r="C912" s="706">
        <f t="shared" si="681"/>
        <v>8.6816980168523405E-2</v>
      </c>
      <c r="D912" s="706">
        <f t="shared" si="681"/>
        <v>0.10657465390075833</v>
      </c>
      <c r="E912" s="706">
        <f t="shared" si="681"/>
        <v>9.9068485438657469E-2</v>
      </c>
      <c r="F912" s="706">
        <f t="shared" si="681"/>
        <v>0.10036217159442694</v>
      </c>
      <c r="G912" s="706">
        <f t="shared" si="683"/>
        <v>7.627731601888621E-2</v>
      </c>
      <c r="H912" s="706">
        <f t="shared" si="683"/>
        <v>0.12088959989761042</v>
      </c>
      <c r="I912" s="706">
        <f t="shared" si="683"/>
        <v>9.4488052176706291E-2</v>
      </c>
      <c r="J912" s="706">
        <f t="shared" si="683"/>
        <v>0.11601892648156825</v>
      </c>
      <c r="K912" s="706">
        <f t="shared" si="683"/>
        <v>4.5061732482378575E-2</v>
      </c>
      <c r="L912" s="706">
        <f t="shared" si="683"/>
        <v>4.5082211409196271E-2</v>
      </c>
      <c r="M912" s="706">
        <f t="shared" si="683"/>
        <v>4.5062150670778602E-2</v>
      </c>
      <c r="N912" s="706">
        <f t="shared" si="683"/>
        <v>4.5015984118251078E-2</v>
      </c>
      <c r="O912" s="706">
        <f t="shared" si="683"/>
        <v>4.5029992330660684E-2</v>
      </c>
      <c r="P912" s="706">
        <f t="shared" si="683"/>
        <v>4.4846374605362081E-2</v>
      </c>
      <c r="Q912" s="706">
        <f t="shared" si="683"/>
        <v>4.448145358245674E-2</v>
      </c>
      <c r="R912" s="706">
        <f t="shared" si="683"/>
        <v>2.7945336444374028E-2</v>
      </c>
      <c r="S912" s="706">
        <f t="shared" si="683"/>
        <v>2.8172102893531194E-2</v>
      </c>
      <c r="T912" s="706">
        <f t="shared" si="683"/>
        <v>2.8313457922712656E-2</v>
      </c>
      <c r="U912" s="706">
        <f t="shared" si="683"/>
        <v>2.877957211879759E-2</v>
      </c>
      <c r="V912" s="706">
        <f t="shared" si="683"/>
        <v>2.7834741275761132E-2</v>
      </c>
      <c r="W912" s="706">
        <f t="shared" si="683"/>
        <v>2.8824181728732703E-2</v>
      </c>
      <c r="X912" s="706">
        <f t="shared" si="683"/>
        <v>2.8857461255750876E-2</v>
      </c>
      <c r="Y912" s="706">
        <f t="shared" si="683"/>
        <v>2.8949263106981083E-2</v>
      </c>
      <c r="Z912" s="706">
        <f t="shared" si="683"/>
        <v>2.8444434290729927E-2</v>
      </c>
      <c r="AA912" s="706">
        <f t="shared" si="683"/>
        <v>11.668149778890941</v>
      </c>
      <c r="AB912" s="706">
        <f t="shared" si="683"/>
        <v>11.709784403876885</v>
      </c>
      <c r="AC912" s="706">
        <f t="shared" si="683"/>
        <v>11.704248940752674</v>
      </c>
      <c r="AD912" s="706">
        <f t="shared" si="683"/>
        <v>11.711751978019279</v>
      </c>
      <c r="AE912" s="706">
        <f t="shared" si="683"/>
        <v>11.672158593756791</v>
      </c>
      <c r="AF912" s="706">
        <f t="shared" si="683"/>
        <v>11.710013471778208</v>
      </c>
    </row>
    <row r="913" spans="1:32" x14ac:dyDescent="0.2">
      <c r="A913" s="6">
        <v>0.8</v>
      </c>
      <c r="C913" s="706">
        <f t="shared" si="681"/>
        <v>8.6865242164320261E-2</v>
      </c>
      <c r="D913" s="706">
        <f t="shared" si="681"/>
        <v>0.10986236156832378</v>
      </c>
      <c r="E913" s="706">
        <f t="shared" si="681"/>
        <v>9.9804873715917522E-2</v>
      </c>
      <c r="F913" s="706">
        <f t="shared" si="681"/>
        <v>0.10121167028911213</v>
      </c>
      <c r="G913" s="706">
        <f t="shared" si="683"/>
        <v>7.6981289034519951E-2</v>
      </c>
      <c r="H913" s="706">
        <f t="shared" si="683"/>
        <v>0.12190514171657826</v>
      </c>
      <c r="I913" s="706">
        <f t="shared" si="683"/>
        <v>9.4950342932007395E-2</v>
      </c>
      <c r="J913" s="706">
        <f t="shared" si="683"/>
        <v>0.11648330025935993</v>
      </c>
      <c r="K913" s="706">
        <f t="shared" si="683"/>
        <v>4.5063549589189858E-2</v>
      </c>
      <c r="L913" s="706">
        <f t="shared" si="683"/>
        <v>4.5084975566634683E-2</v>
      </c>
      <c r="M913" s="706">
        <f t="shared" si="683"/>
        <v>4.5064931284850888E-2</v>
      </c>
      <c r="N913" s="706">
        <f t="shared" si="683"/>
        <v>4.5018266589379567E-2</v>
      </c>
      <c r="O913" s="706">
        <f t="shared" si="683"/>
        <v>4.5035018071307595E-2</v>
      </c>
      <c r="P913" s="706">
        <f t="shared" si="683"/>
        <v>4.4849177150963621E-2</v>
      </c>
      <c r="Q913" s="706">
        <f t="shared" si="683"/>
        <v>4.4492444675127939E-2</v>
      </c>
      <c r="R913" s="706">
        <f t="shared" si="683"/>
        <v>2.7957572694444082E-2</v>
      </c>
      <c r="S913" s="706">
        <f t="shared" si="683"/>
        <v>2.8185500067733127E-2</v>
      </c>
      <c r="T913" s="706">
        <f t="shared" si="683"/>
        <v>2.8329496450786168E-2</v>
      </c>
      <c r="U913" s="706">
        <f t="shared" si="683"/>
        <v>2.8808296688437315E-2</v>
      </c>
      <c r="V913" s="706">
        <f t="shared" si="683"/>
        <v>2.7880899931026416E-2</v>
      </c>
      <c r="W913" s="706">
        <f t="shared" si="683"/>
        <v>2.8909504608654494E-2</v>
      </c>
      <c r="X913" s="706">
        <f t="shared" si="683"/>
        <v>2.8868344359403678E-2</v>
      </c>
      <c r="Y913" s="706">
        <f t="shared" si="683"/>
        <v>2.8969206354372792E-2</v>
      </c>
      <c r="Z913" s="706">
        <f t="shared" si="683"/>
        <v>2.8468740154354379E-2</v>
      </c>
      <c r="AA913" s="706">
        <f t="shared" si="683"/>
        <v>11.668361089640694</v>
      </c>
      <c r="AB913" s="706">
        <f t="shared" si="683"/>
        <v>11.7100131259979</v>
      </c>
      <c r="AC913" s="706">
        <f t="shared" si="683"/>
        <v>11.70445558837188</v>
      </c>
      <c r="AD913" s="706">
        <f t="shared" si="683"/>
        <v>11.711960257604776</v>
      </c>
      <c r="AE913" s="706">
        <f t="shared" si="683"/>
        <v>11.672376260667239</v>
      </c>
      <c r="AF913" s="706">
        <f t="shared" si="683"/>
        <v>11.710222304348521</v>
      </c>
    </row>
    <row r="914" spans="1:32" x14ac:dyDescent="0.2">
      <c r="A914" s="6">
        <v>0.4</v>
      </c>
      <c r="C914" s="706">
        <f t="shared" si="681"/>
        <v>8.6913504160117103E-2</v>
      </c>
      <c r="D914" s="706">
        <f t="shared" si="681"/>
        <v>0.11315006923588923</v>
      </c>
      <c r="E914" s="706">
        <f t="shared" si="681"/>
        <v>0.10054126199317759</v>
      </c>
      <c r="F914" s="706">
        <f t="shared" si="681"/>
        <v>0.10206116898379732</v>
      </c>
      <c r="G914" s="706">
        <f t="shared" si="683"/>
        <v>7.7685262050153692E-2</v>
      </c>
      <c r="H914" s="706">
        <f t="shared" si="683"/>
        <v>0.1229206835355461</v>
      </c>
      <c r="I914" s="706">
        <f t="shared" si="683"/>
        <v>9.5412633687308512E-2</v>
      </c>
      <c r="J914" s="706">
        <f t="shared" si="683"/>
        <v>0.11694767403715162</v>
      </c>
      <c r="K914" s="706">
        <f t="shared" si="683"/>
        <v>4.5065366696001134E-2</v>
      </c>
      <c r="L914" s="706">
        <f t="shared" si="683"/>
        <v>4.5087739724073095E-2</v>
      </c>
      <c r="M914" s="706">
        <f t="shared" si="683"/>
        <v>4.5067711898923175E-2</v>
      </c>
      <c r="N914" s="706">
        <f t="shared" si="683"/>
        <v>4.5020549060508064E-2</v>
      </c>
      <c r="O914" s="706">
        <f t="shared" si="683"/>
        <v>4.5040043811954505E-2</v>
      </c>
      <c r="P914" s="706">
        <f t="shared" si="683"/>
        <v>4.4851979696565167E-2</v>
      </c>
      <c r="Q914" s="706">
        <f t="shared" si="683"/>
        <v>4.4503435767799131E-2</v>
      </c>
      <c r="R914" s="706">
        <f t="shared" si="683"/>
        <v>2.7969808944514139E-2</v>
      </c>
      <c r="S914" s="706">
        <f t="shared" si="683"/>
        <v>2.8198897241935059E-2</v>
      </c>
      <c r="T914" s="706">
        <f t="shared" si="683"/>
        <v>2.8345534978859679E-2</v>
      </c>
      <c r="U914" s="706">
        <f t="shared" si="683"/>
        <v>2.883702125807704E-2</v>
      </c>
      <c r="V914" s="706">
        <f t="shared" si="683"/>
        <v>2.79270585862917E-2</v>
      </c>
      <c r="W914" s="706">
        <f t="shared" si="683"/>
        <v>2.8994827488576288E-2</v>
      </c>
      <c r="X914" s="706">
        <f t="shared" si="683"/>
        <v>2.8879227463056475E-2</v>
      </c>
      <c r="Y914" s="706">
        <f t="shared" si="683"/>
        <v>2.8989149601764505E-2</v>
      </c>
      <c r="Z914" s="706">
        <f t="shared" si="683"/>
        <v>2.8493046017978828E-2</v>
      </c>
      <c r="AA914" s="706">
        <f t="shared" si="683"/>
        <v>11.668572400390447</v>
      </c>
      <c r="AB914" s="706">
        <f t="shared" si="683"/>
        <v>11.710241848118914</v>
      </c>
      <c r="AC914" s="706">
        <f t="shared" si="683"/>
        <v>11.704662235991089</v>
      </c>
      <c r="AD914" s="706">
        <f t="shared" si="683"/>
        <v>11.712168537190275</v>
      </c>
      <c r="AE914" s="706">
        <f t="shared" si="683"/>
        <v>11.672593927577687</v>
      </c>
      <c r="AF914" s="706">
        <f t="shared" si="683"/>
        <v>11.710431136918837</v>
      </c>
    </row>
    <row r="915" spans="1:32" x14ac:dyDescent="0.2">
      <c r="A915" s="6">
        <v>1.0000000000000001E-5</v>
      </c>
      <c r="C915" s="706">
        <f t="shared" si="681"/>
        <v>8.6961764949364057E-2</v>
      </c>
      <c r="D915" s="706">
        <f t="shared" si="681"/>
        <v>0.11643769471076298</v>
      </c>
      <c r="E915" s="706">
        <f t="shared" si="681"/>
        <v>0.1012776318607307</v>
      </c>
      <c r="F915" s="706">
        <f t="shared" si="681"/>
        <v>0.10291064644101514</v>
      </c>
      <c r="G915" s="706">
        <f t="shared" si="683"/>
        <v>7.8389217466462033E-2</v>
      </c>
      <c r="H915" s="706">
        <f t="shared" si="683"/>
        <v>0.12393619996596845</v>
      </c>
      <c r="I915" s="706">
        <f t="shared" si="683"/>
        <v>9.5874912885340724E-2</v>
      </c>
      <c r="J915" s="706">
        <f t="shared" si="683"/>
        <v>0.11741203620559887</v>
      </c>
      <c r="K915" s="706">
        <f t="shared" si="683"/>
        <v>4.5067183757384749E-2</v>
      </c>
      <c r="L915" s="706">
        <f t="shared" si="683"/>
        <v>4.5090503812407569E-2</v>
      </c>
      <c r="M915" s="706">
        <f t="shared" si="683"/>
        <v>4.507049244348011E-2</v>
      </c>
      <c r="N915" s="706">
        <f t="shared" si="683"/>
        <v>4.5022831474574775E-2</v>
      </c>
      <c r="O915" s="706">
        <f t="shared" si="683"/>
        <v>4.5045069426957907E-2</v>
      </c>
      <c r="P915" s="706">
        <f t="shared" si="683"/>
        <v>4.4854782172103064E-2</v>
      </c>
      <c r="Q915" s="706">
        <f t="shared" si="683"/>
        <v>4.4514426585693011E-2</v>
      </c>
      <c r="R915" s="706">
        <f t="shared" si="683"/>
        <v>2.7982044888677941E-2</v>
      </c>
      <c r="S915" s="706">
        <f t="shared" si="683"/>
        <v>2.8212294081207637E-2</v>
      </c>
      <c r="T915" s="706">
        <f t="shared" si="683"/>
        <v>2.8361573105969991E-2</v>
      </c>
      <c r="U915" s="706">
        <f t="shared" si="683"/>
        <v>2.8865745109602527E-2</v>
      </c>
      <c r="V915" s="706">
        <f t="shared" si="683"/>
        <v>2.79732160875906E-2</v>
      </c>
      <c r="W915" s="706">
        <f t="shared" si="683"/>
        <v>2.9080148235426085E-2</v>
      </c>
      <c r="X915" s="706">
        <f t="shared" si="683"/>
        <v>2.8890110294631684E-2</v>
      </c>
      <c r="Y915" s="706">
        <f t="shared" si="683"/>
        <v>2.9009092350575031E-2</v>
      </c>
      <c r="Z915" s="706">
        <f t="shared" si="683"/>
        <v>2.851735127395669E-2</v>
      </c>
      <c r="AA915" s="706">
        <f t="shared" si="683"/>
        <v>11.668783705857431</v>
      </c>
      <c r="AB915" s="706">
        <f t="shared" si="683"/>
        <v>11.710470564521875</v>
      </c>
      <c r="AC915" s="706">
        <f t="shared" si="683"/>
        <v>11.704868878444104</v>
      </c>
      <c r="AD915" s="706">
        <f t="shared" si="683"/>
        <v>11.712376811568783</v>
      </c>
      <c r="AE915" s="706">
        <f t="shared" si="683"/>
        <v>11.672811589046461</v>
      </c>
      <c r="AF915" s="706">
        <f t="shared" si="683"/>
        <v>11.710639964268335</v>
      </c>
    </row>
    <row r="916" spans="1:32" x14ac:dyDescent="0.2">
      <c r="A916" s="700" t="s">
        <v>640</v>
      </c>
      <c r="C916" s="707"/>
      <c r="D916" s="707"/>
      <c r="E916" s="707"/>
      <c r="F916" s="707"/>
      <c r="G916" s="707"/>
      <c r="H916" s="707"/>
      <c r="I916" s="707"/>
      <c r="J916" s="707"/>
      <c r="K916" s="707"/>
      <c r="L916" s="707"/>
      <c r="M916" s="707"/>
      <c r="N916" s="707"/>
      <c r="O916" s="707"/>
      <c r="P916" s="707"/>
      <c r="Q916" s="707"/>
      <c r="R916" s="707"/>
      <c r="S916" s="707"/>
      <c r="T916" s="707"/>
      <c r="U916" s="707"/>
      <c r="V916" s="707"/>
      <c r="W916" s="707"/>
      <c r="X916" s="707"/>
      <c r="Y916" s="707"/>
      <c r="Z916" s="707"/>
      <c r="AA916" s="707"/>
      <c r="AB916" s="707"/>
      <c r="AC916" s="707"/>
      <c r="AD916" s="707"/>
      <c r="AE916" s="707"/>
      <c r="AF916" s="707"/>
    </row>
    <row r="917" spans="1:32" x14ac:dyDescent="0.2">
      <c r="A917" s="6">
        <v>1.0000000000000001E-5</v>
      </c>
      <c r="C917" s="707">
        <f t="shared" ref="C917:F936" si="684" xml:space="preserve"> C$84 + ((-(C$86 * ((C$83 / 200 * C$82) - $A917 * 0.1 * (C$83 / 200 * C$82)) / ((1 - C$86 ^ 2) * (C$83 / 200 * C$82) / 2 * (1 / 2 * C$85 / 200 * C$84))) + ((C$86 * ((C$83 / 200 * C$82) - $A917 * 0.1 * (C$83 / 200 * C$82)) / ((1 - C$86 ^ 2) * (C$83 / 200 * C$82) / 2 * (1 / 2 * C$85 / 200 * C$84))) ^ 2 - 4 * (-1 / (2 * (1 - C$86 ^ 2) * (1 / 2 * C$85 / 200 * C$84) ^ 2)) * (-(((C$83 / 200 * C$82) - $A917 * 0.1 * (C$83 / 200 * C$82)) ^ 2) / (2 * (1 - C$86 ^ 2) * ((C$83 / 200 * C$82) / 2) ^ 2) + 2)) ^ 0.5) / (2 * (-1 / (2 * (1 - C$86 ^ 2) * (1 / 2 * C$85 / 200 * C$84) ^ 2))))</f>
        <v>1.2888055094647584E-2</v>
      </c>
      <c r="D917" s="707">
        <f t="shared" si="684"/>
        <v>1.3986645673670431E-2</v>
      </c>
      <c r="E917" s="707">
        <f t="shared" si="684"/>
        <v>1.4022345852408538E-2</v>
      </c>
      <c r="F917" s="707">
        <f t="shared" si="684"/>
        <v>1.2116597562715005E-2</v>
      </c>
      <c r="G917" s="707">
        <f t="shared" ref="G917:AF927" si="685" xml:space="preserve"> G$84 + ((-(G$86 * ((G$83 / 200 * G$82) - $A917 * 0.1 * (G$83 / 200 * G$82)) / ((1 - G$86 ^ 2) * (G$83 / 200 * G$82) / 2 * (1 / 2 * G$85 / 200 * G$84))) + ((G$86 * ((G$83 / 200 * G$82) - $A917 * 0.1 * (G$83 / 200 * G$82)) / ((1 - G$86 ^ 2) * (G$83 / 200 * G$82) / 2 * (1 / 2 * G$85 / 200 * G$84))) ^ 2 - 4 * (-1 / (2 * (1 - G$86 ^ 2) * (1 / 2 * G$85 / 200 * G$84) ^ 2)) * (-(((G$83 / 200 * G$82) - $A917 * 0.1 * (G$83 / 200 * G$82)) ^ 2) / (2 * (1 - G$86 ^ 2) * ((G$83 / 200 * G$82) / 2) ^ 2) + 2)) ^ 0.5) / (2 * (-1 / (2 * (1 - G$86 ^ 2) * (1 / 2 * G$85 / 200 * G$84) ^ 2))))</f>
        <v>1.447253872977174E-2</v>
      </c>
      <c r="H917" s="707">
        <f t="shared" si="685"/>
        <v>1.489995959334604E-2</v>
      </c>
      <c r="I917" s="707">
        <f t="shared" si="685"/>
        <v>1.3572782004709991E-2</v>
      </c>
      <c r="J917" s="707">
        <f t="shared" si="685"/>
        <v>1.399035522720833E-2</v>
      </c>
      <c r="K917" s="707">
        <f t="shared" si="685"/>
        <v>6.9435846590377099E-3</v>
      </c>
      <c r="L917" s="707">
        <f t="shared" si="685"/>
        <v>6.9421226516318182E-3</v>
      </c>
      <c r="M917" s="707">
        <f t="shared" si="685"/>
        <v>6.9417513003401394E-3</v>
      </c>
      <c r="N917" s="707">
        <f t="shared" si="685"/>
        <v>6.9416802993831715E-3</v>
      </c>
      <c r="O917" s="707">
        <f t="shared" si="685"/>
        <v>6.9386587908883621E-3</v>
      </c>
      <c r="P917" s="707">
        <f t="shared" si="685"/>
        <v>6.9400659320762066E-3</v>
      </c>
      <c r="Q917" s="707">
        <f t="shared" si="685"/>
        <v>6.9316092026184594E-3</v>
      </c>
      <c r="R917" s="707">
        <f t="shared" si="685"/>
        <v>4.4334072278836003E-3</v>
      </c>
      <c r="S917" s="707">
        <f t="shared" si="685"/>
        <v>4.4333436431034301E-3</v>
      </c>
      <c r="T917" s="707">
        <f t="shared" si="685"/>
        <v>4.4111407954631667E-3</v>
      </c>
      <c r="U917" s="707">
        <f t="shared" si="685"/>
        <v>4.4120847749914574E-3</v>
      </c>
      <c r="V917" s="707">
        <f t="shared" si="685"/>
        <v>4.3965741942786109E-3</v>
      </c>
      <c r="W917" s="707">
        <f t="shared" si="685"/>
        <v>4.3974216553146345E-3</v>
      </c>
      <c r="X917" s="707">
        <f t="shared" si="685"/>
        <v>4.4460186612775374E-3</v>
      </c>
      <c r="Y917" s="707">
        <f t="shared" si="685"/>
        <v>4.4263343942677726E-3</v>
      </c>
      <c r="Z917" s="707">
        <f t="shared" si="685"/>
        <v>4.41518356593496E-3</v>
      </c>
      <c r="AA917" s="707">
        <f t="shared" si="685"/>
        <v>0.49057540357103674</v>
      </c>
      <c r="AB917" s="707">
        <f t="shared" si="685"/>
        <v>0.49189497292747697</v>
      </c>
      <c r="AC917" s="707">
        <f t="shared" si="685"/>
        <v>0.49162304764007936</v>
      </c>
      <c r="AD917" s="707">
        <f t="shared" si="685"/>
        <v>0.49183830243081489</v>
      </c>
      <c r="AE917" s="707">
        <f t="shared" si="685"/>
        <v>0.49079204975959495</v>
      </c>
      <c r="AF917" s="707">
        <f t="shared" si="685"/>
        <v>0.49178078234555811</v>
      </c>
    </row>
    <row r="918" spans="1:32" x14ac:dyDescent="0.2">
      <c r="A918" s="6">
        <v>0.4</v>
      </c>
      <c r="C918" s="707">
        <f t="shared" si="684"/>
        <v>1.2879099889774521E-2</v>
      </c>
      <c r="D918" s="707">
        <f t="shared" si="684"/>
        <v>1.3871909899079089E-2</v>
      </c>
      <c r="E918" s="707">
        <f t="shared" si="684"/>
        <v>1.3937053614537415E-2</v>
      </c>
      <c r="F918" s="707">
        <f t="shared" si="684"/>
        <v>1.1952233293892892E-2</v>
      </c>
      <c r="G918" s="707">
        <f t="shared" ref="G918:R918" si="686" xml:space="preserve"> G$84 + ((-(G$86 * ((G$83 / 200 * G$82) - $A918 * 0.1 * (G$83 / 200 * G$82)) / ((1 - G$86 ^ 2) * (G$83 / 200 * G$82) / 2 * (1 / 2 * G$85 / 200 * G$84))) + ((G$86 * ((G$83 / 200 * G$82) - $A918 * 0.1 * (G$83 / 200 * G$82)) / ((1 - G$86 ^ 2) * (G$83 / 200 * G$82) / 2 * (1 / 2 * G$85 / 200 * G$84))) ^ 2 - 4 * (-1 / (2 * (1 - G$86 ^ 2) * (1 / 2 * G$85 / 200 * G$84) ^ 2)) * (-(((G$83 / 200 * G$82) - $A918 * 0.1 * (G$83 / 200 * G$82)) ^ 2) / (2 * (1 - G$86 ^ 2) * ((G$83 / 200 * G$82) / 2) ^ 2) + 2)) ^ 0.5) / (2 * (-1 / (2 * (1 - G$86 ^ 2) * (1 / 2 * G$85 / 200 * G$84) ^ 2))))</f>
        <v>1.4357300657033429E-2</v>
      </c>
      <c r="H918" s="707">
        <f t="shared" si="686"/>
        <v>1.4776771422234785E-2</v>
      </c>
      <c r="I918" s="707">
        <f t="shared" si="686"/>
        <v>1.3514029420446197E-2</v>
      </c>
      <c r="J918" s="707">
        <f t="shared" si="686"/>
        <v>1.3919679480136076E-2</v>
      </c>
      <c r="K918" s="707">
        <f t="shared" si="686"/>
        <v>6.9430996291415525E-3</v>
      </c>
      <c r="L918" s="707">
        <f t="shared" si="686"/>
        <v>6.9415250937335995E-3</v>
      </c>
      <c r="M918" s="707">
        <f t="shared" si="686"/>
        <v>6.9411181232849175E-3</v>
      </c>
      <c r="N918" s="707">
        <f t="shared" si="686"/>
        <v>6.9411198610077451E-3</v>
      </c>
      <c r="O918" s="707">
        <f t="shared" si="686"/>
        <v>6.9379961323042137E-3</v>
      </c>
      <c r="P918" s="707">
        <f t="shared" si="686"/>
        <v>6.9393372361891909E-3</v>
      </c>
      <c r="Q918" s="707">
        <f t="shared" si="686"/>
        <v>6.930487021188471E-3</v>
      </c>
      <c r="R918" s="707">
        <f t="shared" si="686"/>
        <v>4.4326298711443654E-3</v>
      </c>
      <c r="S918" s="707">
        <f t="shared" si="685"/>
        <v>4.4324476499547714E-3</v>
      </c>
      <c r="T918" s="707">
        <f t="shared" si="685"/>
        <v>4.4101714152129439E-3</v>
      </c>
      <c r="U918" s="707">
        <f t="shared" si="685"/>
        <v>4.4103150482558149E-3</v>
      </c>
      <c r="V918" s="707">
        <f t="shared" si="685"/>
        <v>4.3940306817591415E-3</v>
      </c>
      <c r="W918" s="707">
        <f t="shared" si="685"/>
        <v>4.3934629273007777E-3</v>
      </c>
      <c r="X918" s="707">
        <f t="shared" si="685"/>
        <v>4.4452312478618118E-3</v>
      </c>
      <c r="Y918" s="707">
        <f t="shared" si="685"/>
        <v>4.4250668720871413E-3</v>
      </c>
      <c r="Z918" s="707">
        <f t="shared" si="685"/>
        <v>4.4136238511446671E-3</v>
      </c>
      <c r="AA918" s="707">
        <f t="shared" si="685"/>
        <v>0.49055715647507736</v>
      </c>
      <c r="AB918" s="707">
        <f t="shared" si="685"/>
        <v>0.4918727447296688</v>
      </c>
      <c r="AC918" s="707">
        <f t="shared" si="685"/>
        <v>0.49160626317255268</v>
      </c>
      <c r="AD918" s="707">
        <f t="shared" si="685"/>
        <v>0.49182118802423186</v>
      </c>
      <c r="AE918" s="707">
        <f t="shared" si="685"/>
        <v>0.49077240230473212</v>
      </c>
      <c r="AF918" s="707">
        <f t="shared" si="685"/>
        <v>0.49176413065338909</v>
      </c>
    </row>
    <row r="919" spans="1:32" x14ac:dyDescent="0.2">
      <c r="A919" s="6">
        <v>0.8</v>
      </c>
      <c r="C919" s="707">
        <f t="shared" si="684"/>
        <v>1.2875350219004584E-2</v>
      </c>
      <c r="D919" s="707">
        <f t="shared" si="684"/>
        <v>1.3824707706848157E-2</v>
      </c>
      <c r="E919" s="707">
        <f t="shared" si="684"/>
        <v>1.3901920276754038E-2</v>
      </c>
      <c r="F919" s="707">
        <f t="shared" si="684"/>
        <v>1.1885064475141933E-2</v>
      </c>
      <c r="G919" s="707">
        <f t="shared" si="685"/>
        <v>1.430984639471772E-2</v>
      </c>
      <c r="H919" s="707">
        <f t="shared" si="685"/>
        <v>1.4726284519672009E-2</v>
      </c>
      <c r="I919" s="707">
        <f t="shared" si="685"/>
        <v>1.3489696405339357E-2</v>
      </c>
      <c r="J919" s="707">
        <f t="shared" si="685"/>
        <v>1.3890611159107846E-2</v>
      </c>
      <c r="K919" s="707">
        <f t="shared" si="685"/>
        <v>6.942858412272249E-3</v>
      </c>
      <c r="L919" s="707">
        <f t="shared" si="685"/>
        <v>6.9412438020276567E-3</v>
      </c>
      <c r="M919" s="707">
        <f t="shared" si="685"/>
        <v>6.9408209463761956E-3</v>
      </c>
      <c r="N919" s="707">
        <f t="shared" si="685"/>
        <v>6.9408519729535082E-3</v>
      </c>
      <c r="O919" s="707">
        <f t="shared" si="685"/>
        <v>6.9376816817411022E-3</v>
      </c>
      <c r="P919" s="707">
        <f t="shared" si="685"/>
        <v>6.9389983369803516E-3</v>
      </c>
      <c r="Q919" s="707">
        <f t="shared" si="685"/>
        <v>6.9299619789186286E-3</v>
      </c>
      <c r="R919" s="707">
        <f t="shared" si="685"/>
        <v>4.4322441640644349E-3</v>
      </c>
      <c r="S919" s="707">
        <f t="shared" si="685"/>
        <v>4.4320091298704119E-3</v>
      </c>
      <c r="T919" s="707">
        <f t="shared" si="685"/>
        <v>4.4096940475184809E-3</v>
      </c>
      <c r="U919" s="707">
        <f t="shared" si="685"/>
        <v>4.409477818156606E-3</v>
      </c>
      <c r="V919" s="707">
        <f t="shared" si="685"/>
        <v>4.3928734739952825E-3</v>
      </c>
      <c r="W919" s="707">
        <f t="shared" si="685"/>
        <v>4.3917143426199417E-3</v>
      </c>
      <c r="X919" s="707">
        <f t="shared" si="685"/>
        <v>4.4448479491429743E-3</v>
      </c>
      <c r="Y919" s="707">
        <f t="shared" si="685"/>
        <v>4.4244408326331386E-3</v>
      </c>
      <c r="Z919" s="707">
        <f t="shared" si="685"/>
        <v>4.4128789839946577E-3</v>
      </c>
      <c r="AA919" s="707">
        <f t="shared" si="685"/>
        <v>0.49054659559197672</v>
      </c>
      <c r="AB919" s="707">
        <f t="shared" si="685"/>
        <v>0.49186000635266364</v>
      </c>
      <c r="AC919" s="707">
        <f t="shared" si="685"/>
        <v>0.49159648320278504</v>
      </c>
      <c r="AD919" s="707">
        <f t="shared" si="685"/>
        <v>0.49181121237721415</v>
      </c>
      <c r="AE919" s="707">
        <f t="shared" si="685"/>
        <v>0.49076104712886404</v>
      </c>
      <c r="AF919" s="707">
        <f t="shared" si="685"/>
        <v>0.49175428171828367</v>
      </c>
    </row>
    <row r="920" spans="1:32" x14ac:dyDescent="0.2">
      <c r="A920" s="6">
        <v>1.2</v>
      </c>
      <c r="C920" s="707">
        <f t="shared" si="684"/>
        <v>1.2872502030270514E-2</v>
      </c>
      <c r="D920" s="707">
        <f t="shared" si="684"/>
        <v>1.3789200813806463E-2</v>
      </c>
      <c r="E920" s="707">
        <f t="shared" si="684"/>
        <v>1.3875473333871919E-2</v>
      </c>
      <c r="F920" s="707">
        <f t="shared" si="684"/>
        <v>1.183472772134163E-2</v>
      </c>
      <c r="G920" s="707">
        <f t="shared" si="685"/>
        <v>1.4274130765803854E-2</v>
      </c>
      <c r="H920" s="707">
        <f t="shared" si="685"/>
        <v>1.4688387842027318E-2</v>
      </c>
      <c r="I920" s="707">
        <f t="shared" si="685"/>
        <v>1.3471324087500205E-2</v>
      </c>
      <c r="J920" s="707">
        <f t="shared" si="685"/>
        <v>1.3868748309421244E-2</v>
      </c>
      <c r="K920" s="707">
        <f t="shared" si="685"/>
        <v>6.9426594186479951E-3</v>
      </c>
      <c r="L920" s="707">
        <f t="shared" si="685"/>
        <v>6.9410172807814674E-3</v>
      </c>
      <c r="M920" s="707">
        <f t="shared" si="685"/>
        <v>6.9405819574137953E-3</v>
      </c>
      <c r="N920" s="707">
        <f t="shared" si="685"/>
        <v>6.9406347483167126E-3</v>
      </c>
      <c r="O920" s="707">
        <f t="shared" si="685"/>
        <v>6.9374275332917514E-3</v>
      </c>
      <c r="P920" s="707">
        <f t="shared" si="685"/>
        <v>6.9387269420863196E-3</v>
      </c>
      <c r="Q920" s="707">
        <f t="shared" si="685"/>
        <v>6.9295403482015757E-3</v>
      </c>
      <c r="R920" s="707">
        <f t="shared" si="685"/>
        <v>4.4319262823910525E-3</v>
      </c>
      <c r="S920" s="707">
        <f t="shared" si="685"/>
        <v>4.4316498343569578E-3</v>
      </c>
      <c r="T920" s="707">
        <f t="shared" si="685"/>
        <v>4.4093018859225177E-3</v>
      </c>
      <c r="U920" s="707">
        <f t="shared" si="685"/>
        <v>4.4088020763274E-3</v>
      </c>
      <c r="V920" s="707">
        <f t="shared" si="685"/>
        <v>4.3919563438840556E-3</v>
      </c>
      <c r="W920" s="707">
        <f t="shared" si="685"/>
        <v>4.3903485059915443E-3</v>
      </c>
      <c r="X920" s="707">
        <f t="shared" si="685"/>
        <v>4.4445346344469967E-3</v>
      </c>
      <c r="Y920" s="707">
        <f t="shared" si="685"/>
        <v>4.4239258843444462E-3</v>
      </c>
      <c r="Z920" s="707">
        <f t="shared" si="685"/>
        <v>4.4122752309078668E-3</v>
      </c>
      <c r="AA920" s="707">
        <f t="shared" si="685"/>
        <v>0.49053736581072077</v>
      </c>
      <c r="AB920" s="707">
        <f t="shared" si="685"/>
        <v>0.49184891142584697</v>
      </c>
      <c r="AC920" s="707">
        <f t="shared" si="685"/>
        <v>0.49158791627580489</v>
      </c>
      <c r="AD920" s="707">
        <f t="shared" si="685"/>
        <v>0.49180247302455321</v>
      </c>
      <c r="AE920" s="707">
        <f t="shared" si="685"/>
        <v>0.49075112801348375</v>
      </c>
      <c r="AF920" s="707">
        <f t="shared" si="685"/>
        <v>0.49174561088991886</v>
      </c>
    </row>
    <row r="921" spans="1:32" x14ac:dyDescent="0.2">
      <c r="A921" s="6">
        <v>3</v>
      </c>
      <c r="C921" s="707">
        <f t="shared" si="684"/>
        <v>1.2863888525374966E-2</v>
      </c>
      <c r="D921" s="707">
        <f t="shared" si="684"/>
        <v>1.3683951520087638E-2</v>
      </c>
      <c r="E921" s="707">
        <f t="shared" si="684"/>
        <v>1.3796964184099085E-2</v>
      </c>
      <c r="F921" s="707">
        <f t="shared" si="684"/>
        <v>1.1686695275396182E-2</v>
      </c>
      <c r="G921" s="707">
        <f t="shared" si="685"/>
        <v>1.4168144215291384E-2</v>
      </c>
      <c r="H921" s="707">
        <f t="shared" si="685"/>
        <v>1.4576557291880071E-2</v>
      </c>
      <c r="I921" s="707">
        <f t="shared" si="685"/>
        <v>1.3416441627610189E-2</v>
      </c>
      <c r="J921" s="707">
        <f t="shared" si="685"/>
        <v>1.3803962469979976E-2</v>
      </c>
      <c r="K921" s="707">
        <f t="shared" si="685"/>
        <v>6.9419608218564801E-3</v>
      </c>
      <c r="L921" s="707">
        <f t="shared" si="685"/>
        <v>6.9402533136465744E-3</v>
      </c>
      <c r="M921" s="707">
        <f t="shared" si="685"/>
        <v>6.9397778202861865E-3</v>
      </c>
      <c r="N921" s="707">
        <f t="shared" si="685"/>
        <v>6.9398934659991264E-3</v>
      </c>
      <c r="O921" s="707">
        <f t="shared" si="685"/>
        <v>6.9365650362110407E-3</v>
      </c>
      <c r="P921" s="707">
        <f t="shared" si="685"/>
        <v>6.9378204177402676E-3</v>
      </c>
      <c r="Q921" s="707">
        <f t="shared" si="685"/>
        <v>6.9281251874945497E-3</v>
      </c>
      <c r="R921" s="707">
        <f t="shared" si="685"/>
        <v>4.4308120646938563E-3</v>
      </c>
      <c r="S921" s="707">
        <f t="shared" si="685"/>
        <v>4.4304024053151763E-3</v>
      </c>
      <c r="T921" s="707">
        <f t="shared" si="685"/>
        <v>4.4079344496054801E-3</v>
      </c>
      <c r="U921" s="707">
        <f t="shared" si="685"/>
        <v>4.4065142101903966E-3</v>
      </c>
      <c r="V921" s="707">
        <f t="shared" si="685"/>
        <v>4.3889486695514344E-3</v>
      </c>
      <c r="W921" s="707">
        <f t="shared" si="685"/>
        <v>4.3859868822567422E-3</v>
      </c>
      <c r="X921" s="707">
        <f t="shared" si="685"/>
        <v>4.4434510331382623E-3</v>
      </c>
      <c r="Y921" s="707">
        <f t="shared" si="685"/>
        <v>4.4221266023294244E-3</v>
      </c>
      <c r="Z921" s="707">
        <f t="shared" si="685"/>
        <v>4.4102163152046625E-3</v>
      </c>
      <c r="AA921" s="707">
        <f t="shared" si="685"/>
        <v>0.4905020383297225</v>
      </c>
      <c r="AB921" s="707">
        <f t="shared" si="685"/>
        <v>0.49180664717787509</v>
      </c>
      <c r="AC921" s="707">
        <f t="shared" si="685"/>
        <v>0.49155502116454236</v>
      </c>
      <c r="AD921" s="707">
        <f t="shared" si="685"/>
        <v>0.49176891041292553</v>
      </c>
      <c r="AE921" s="707">
        <f t="shared" si="685"/>
        <v>0.49071318792007079</v>
      </c>
      <c r="AF921" s="707">
        <f t="shared" si="685"/>
        <v>0.49171208532595967</v>
      </c>
    </row>
    <row r="922" spans="1:32" x14ac:dyDescent="0.2">
      <c r="A922" s="6">
        <v>4</v>
      </c>
      <c r="C922" s="707">
        <f t="shared" si="684"/>
        <v>1.2860571656523587E-2</v>
      </c>
      <c r="D922" s="707">
        <f t="shared" si="684"/>
        <v>1.3644530001677013E-2</v>
      </c>
      <c r="E922" s="707">
        <f t="shared" si="684"/>
        <v>1.3767497138547618E-2</v>
      </c>
      <c r="F922" s="707">
        <f t="shared" si="684"/>
        <v>1.1631872545934042E-2</v>
      </c>
      <c r="G922" s="707">
        <f t="shared" si="685"/>
        <v>1.4128383696274009E-2</v>
      </c>
      <c r="H922" s="707">
        <f t="shared" si="685"/>
        <v>1.4534937252066237E-2</v>
      </c>
      <c r="I922" s="707">
        <f t="shared" si="685"/>
        <v>1.3395660669626722E-2</v>
      </c>
      <c r="J922" s="707">
        <f t="shared" si="685"/>
        <v>1.3779707229776953E-2</v>
      </c>
      <c r="K922" s="707">
        <f t="shared" si="685"/>
        <v>6.9416414893889652E-3</v>
      </c>
      <c r="L922" s="707">
        <f t="shared" si="685"/>
        <v>6.9399181023064851E-3</v>
      </c>
      <c r="M922" s="707">
        <f t="shared" si="685"/>
        <v>6.9394258589801803E-3</v>
      </c>
      <c r="N922" s="707">
        <f t="shared" si="685"/>
        <v>6.9395641674307798E-3</v>
      </c>
      <c r="O922" s="707">
        <f t="shared" si="685"/>
        <v>6.9361840964470281E-3</v>
      </c>
      <c r="P922" s="707">
        <f t="shared" si="685"/>
        <v>6.937426749950279E-3</v>
      </c>
      <c r="Q922" s="707">
        <f t="shared" si="685"/>
        <v>6.9275074327528312E-3</v>
      </c>
      <c r="R922" s="707">
        <f t="shared" si="685"/>
        <v>4.4303035347306946E-3</v>
      </c>
      <c r="S922" s="707">
        <f t="shared" si="685"/>
        <v>4.4298384369909592E-3</v>
      </c>
      <c r="T922" s="707">
        <f t="shared" si="685"/>
        <v>4.4073135538005275E-3</v>
      </c>
      <c r="U922" s="707">
        <f t="shared" si="685"/>
        <v>4.4055062194617951E-3</v>
      </c>
      <c r="V922" s="707">
        <f t="shared" si="685"/>
        <v>4.3876687985415124E-3</v>
      </c>
      <c r="W922" s="707">
        <f t="shared" si="685"/>
        <v>4.3841872109796343E-3</v>
      </c>
      <c r="X922" s="707">
        <f t="shared" si="685"/>
        <v>4.442963028420119E-3</v>
      </c>
      <c r="Y922" s="707">
        <f t="shared" si="685"/>
        <v>4.4213079560758827E-3</v>
      </c>
      <c r="Z922" s="707">
        <f t="shared" si="685"/>
        <v>4.4093023318972748E-3</v>
      </c>
      <c r="AA922" s="707">
        <f t="shared" si="685"/>
        <v>0.49048458016481339</v>
      </c>
      <c r="AB922" s="707">
        <f t="shared" si="685"/>
        <v>0.49178584403344239</v>
      </c>
      <c r="AC922" s="707">
        <f t="shared" si="685"/>
        <v>0.49153872201138427</v>
      </c>
      <c r="AD922" s="707">
        <f t="shared" si="685"/>
        <v>0.49175227830039148</v>
      </c>
      <c r="AE922" s="707">
        <f t="shared" si="685"/>
        <v>0.49069444926950528</v>
      </c>
      <c r="AF922" s="707">
        <f t="shared" si="685"/>
        <v>0.49169537901445876</v>
      </c>
    </row>
    <row r="923" spans="1:32" x14ac:dyDescent="0.2">
      <c r="A923" s="6">
        <v>5</v>
      </c>
      <c r="C923" s="707">
        <f t="shared" si="684"/>
        <v>1.2857874194809566E-2</v>
      </c>
      <c r="D923" s="707">
        <f t="shared" si="684"/>
        <v>1.361314430816709E-2</v>
      </c>
      <c r="E923" s="707">
        <f t="shared" si="684"/>
        <v>1.374399850366401E-2</v>
      </c>
      <c r="F923" s="707">
        <f t="shared" si="684"/>
        <v>1.1588615106463388E-2</v>
      </c>
      <c r="G923" s="707">
        <f t="shared" si="685"/>
        <v>1.4096688777038598E-2</v>
      </c>
      <c r="H923" s="707">
        <f t="shared" si="685"/>
        <v>1.4501967939460415E-2</v>
      </c>
      <c r="I923" s="707">
        <f t="shared" si="685"/>
        <v>1.3378975299003115E-2</v>
      </c>
      <c r="J923" s="707">
        <f t="shared" si="685"/>
        <v>1.3760402859585156E-2</v>
      </c>
      <c r="K923" s="707">
        <f t="shared" si="685"/>
        <v>6.941351168458349E-3</v>
      </c>
      <c r="L923" s="707">
        <f t="shared" si="685"/>
        <v>6.9396205236782402E-3</v>
      </c>
      <c r="M923" s="707">
        <f t="shared" si="685"/>
        <v>6.9391138785366048E-3</v>
      </c>
      <c r="N923" s="707">
        <f t="shared" si="685"/>
        <v>6.9392696796308304E-3</v>
      </c>
      <c r="O923" s="707">
        <f t="shared" si="685"/>
        <v>6.9358445901871509E-3</v>
      </c>
      <c r="P923" s="707">
        <f t="shared" si="685"/>
        <v>6.9370794642874207E-3</v>
      </c>
      <c r="Q923" s="707">
        <f t="shared" si="685"/>
        <v>6.9269607319548806E-3</v>
      </c>
      <c r="R923" s="707">
        <f t="shared" si="685"/>
        <v>4.4298416075163822E-3</v>
      </c>
      <c r="S923" s="707">
        <f t="shared" si="685"/>
        <v>4.4293289037666351E-3</v>
      </c>
      <c r="T923" s="707">
        <f t="shared" si="685"/>
        <v>4.4067512029953172E-3</v>
      </c>
      <c r="U923" s="707">
        <f t="shared" si="685"/>
        <v>4.4046091871140156E-3</v>
      </c>
      <c r="V923" s="707">
        <f t="shared" si="685"/>
        <v>4.3865538845752608E-3</v>
      </c>
      <c r="W923" s="707">
        <f t="shared" si="685"/>
        <v>4.3826505253928205E-3</v>
      </c>
      <c r="X923" s="707">
        <f t="shared" si="685"/>
        <v>4.4425231096332923E-3</v>
      </c>
      <c r="Y923" s="707">
        <f t="shared" si="685"/>
        <v>4.4205656404179084E-3</v>
      </c>
      <c r="Z923" s="707">
        <f t="shared" si="685"/>
        <v>4.4084853078796577E-3</v>
      </c>
      <c r="AA923" s="707">
        <f t="shared" si="685"/>
        <v>0.49046803659825494</v>
      </c>
      <c r="AB923" s="707">
        <f t="shared" si="685"/>
        <v>0.4917661701015022</v>
      </c>
      <c r="AC923" s="707">
        <f t="shared" si="685"/>
        <v>0.49152325633835176</v>
      </c>
      <c r="AD923" s="707">
        <f t="shared" si="685"/>
        <v>0.49173649564410621</v>
      </c>
      <c r="AE923" s="707">
        <f t="shared" si="685"/>
        <v>0.49067669733423797</v>
      </c>
      <c r="AF923" s="707">
        <f t="shared" si="685"/>
        <v>0.49167948217857099</v>
      </c>
    </row>
    <row r="924" spans="1:32" x14ac:dyDescent="0.2">
      <c r="A924" s="6">
        <v>6</v>
      </c>
      <c r="C924" s="707">
        <f t="shared" si="684"/>
        <v>1.2855661960186936E-2</v>
      </c>
      <c r="D924" s="707">
        <f t="shared" si="684"/>
        <v>1.3588053666341781E-2</v>
      </c>
      <c r="E924" s="707">
        <f t="shared" si="684"/>
        <v>1.3725175363094113E-2</v>
      </c>
      <c r="F924" s="707">
        <f t="shared" si="684"/>
        <v>1.155441760783809E-2</v>
      </c>
      <c r="G924" s="707">
        <f t="shared" si="685"/>
        <v>1.4071312234338556E-2</v>
      </c>
      <c r="H924" s="707">
        <f t="shared" si="685"/>
        <v>1.4475775376666451E-2</v>
      </c>
      <c r="I924" s="707">
        <f t="shared" si="685"/>
        <v>1.3365498302681807E-2</v>
      </c>
      <c r="J924" s="707">
        <f t="shared" si="685"/>
        <v>1.3744976869396611E-2</v>
      </c>
      <c r="K924" s="707">
        <f t="shared" si="685"/>
        <v>6.9410835743947911E-3</v>
      </c>
      <c r="L924" s="707">
        <f t="shared" si="685"/>
        <v>6.9393524255164079E-3</v>
      </c>
      <c r="M924" s="707">
        <f t="shared" si="685"/>
        <v>6.9388332180382135E-3</v>
      </c>
      <c r="N924" s="707">
        <f t="shared" si="685"/>
        <v>6.9390024616617892E-3</v>
      </c>
      <c r="O924" s="707">
        <f t="shared" si="685"/>
        <v>6.9355375418333667E-3</v>
      </c>
      <c r="P924" s="707">
        <f t="shared" si="685"/>
        <v>6.936768513150407E-3</v>
      </c>
      <c r="Q924" s="707">
        <f t="shared" si="685"/>
        <v>6.9264696929283017E-3</v>
      </c>
      <c r="R924" s="707">
        <f t="shared" si="685"/>
        <v>4.4294161876571045E-3</v>
      </c>
      <c r="S924" s="707">
        <f t="shared" si="685"/>
        <v>4.4288620135530168E-3</v>
      </c>
      <c r="T924" s="707">
        <f t="shared" si="685"/>
        <v>4.4062347147871394E-3</v>
      </c>
      <c r="U924" s="707">
        <f t="shared" si="685"/>
        <v>4.4037990766131819E-3</v>
      </c>
      <c r="V924" s="707">
        <f t="shared" si="685"/>
        <v>4.3855681935734822E-3</v>
      </c>
      <c r="W924" s="707">
        <f t="shared" si="685"/>
        <v>4.381319855807247E-3</v>
      </c>
      <c r="X924" s="707">
        <f t="shared" si="685"/>
        <v>4.4421208600872331E-3</v>
      </c>
      <c r="Y924" s="707">
        <f t="shared" si="685"/>
        <v>4.4198831201201043E-3</v>
      </c>
      <c r="Z924" s="707">
        <f t="shared" si="685"/>
        <v>4.407744239193068E-3</v>
      </c>
      <c r="AA924" s="707">
        <f t="shared" si="685"/>
        <v>0.49045220950374002</v>
      </c>
      <c r="AB924" s="707">
        <f t="shared" si="685"/>
        <v>0.4917473807646211</v>
      </c>
      <c r="AC924" s="707">
        <f t="shared" si="685"/>
        <v>0.49150844359150092</v>
      </c>
      <c r="AD924" s="707">
        <f t="shared" si="685"/>
        <v>0.49172137842927283</v>
      </c>
      <c r="AE924" s="707">
        <f t="shared" si="685"/>
        <v>0.49065971836551442</v>
      </c>
      <c r="AF924" s="707">
        <f t="shared" si="685"/>
        <v>0.49166421946436767</v>
      </c>
    </row>
    <row r="925" spans="1:32" x14ac:dyDescent="0.2">
      <c r="A925" s="6">
        <v>8</v>
      </c>
      <c r="C925" s="707">
        <f t="shared" si="684"/>
        <v>1.28524149385953E-2</v>
      </c>
      <c r="D925" s="707">
        <f t="shared" si="684"/>
        <v>1.3553147897943731E-2</v>
      </c>
      <c r="E925" s="707">
        <f t="shared" si="684"/>
        <v>1.369887459399783E-2</v>
      </c>
      <c r="F925" s="707">
        <f t="shared" si="684"/>
        <v>1.1508007380769562E-2</v>
      </c>
      <c r="G925" s="707">
        <f t="shared" si="685"/>
        <v>1.4035891264062053E-2</v>
      </c>
      <c r="H925" s="707">
        <f t="shared" si="685"/>
        <v>1.4439834650632356E-2</v>
      </c>
      <c r="I925" s="707">
        <f t="shared" si="685"/>
        <v>1.3346329721985923E-2</v>
      </c>
      <c r="J925" s="707">
        <f t="shared" si="685"/>
        <v>1.3723536130715858E-2</v>
      </c>
      <c r="K925" s="707">
        <f t="shared" si="685"/>
        <v>6.9406035350768969E-3</v>
      </c>
      <c r="L925" s="707">
        <f t="shared" si="685"/>
        <v>6.9388877662248313E-3</v>
      </c>
      <c r="M925" s="707">
        <f t="shared" si="685"/>
        <v>6.9383478977359976E-3</v>
      </c>
      <c r="N925" s="707">
        <f t="shared" si="685"/>
        <v>6.938534198447751E-3</v>
      </c>
      <c r="O925" s="707">
        <f t="shared" si="685"/>
        <v>6.9350022071859732E-3</v>
      </c>
      <c r="P925" s="707">
        <f t="shared" si="685"/>
        <v>6.9362347799068365E-3</v>
      </c>
      <c r="Q925" s="707">
        <f t="shared" si="685"/>
        <v>6.9256226832240912E-3</v>
      </c>
      <c r="R925" s="707">
        <f t="shared" si="685"/>
        <v>4.428653936354757E-3</v>
      </c>
      <c r="S925" s="707">
        <f t="shared" si="685"/>
        <v>4.4280317102683205E-3</v>
      </c>
      <c r="T925" s="707">
        <f t="shared" si="685"/>
        <v>4.4053130281322649E-3</v>
      </c>
      <c r="U925" s="707">
        <f t="shared" si="685"/>
        <v>4.4023897793759792E-3</v>
      </c>
      <c r="V925" s="707">
        <f t="shared" si="685"/>
        <v>4.3839103828420432E-3</v>
      </c>
      <c r="W925" s="707">
        <f t="shared" si="685"/>
        <v>4.3791584331938829E-3</v>
      </c>
      <c r="X925" s="707">
        <f t="shared" si="685"/>
        <v>4.4414077688326847E-3</v>
      </c>
      <c r="Y925" s="707">
        <f t="shared" si="685"/>
        <v>4.4186631784024861E-3</v>
      </c>
      <c r="Z925" s="707">
        <f t="shared" si="685"/>
        <v>4.4064464143364103E-3</v>
      </c>
      <c r="AA925" s="707">
        <f t="shared" si="685"/>
        <v>0.49042229389926473</v>
      </c>
      <c r="AB925" s="707">
        <f t="shared" si="685"/>
        <v>0.49171194864119633</v>
      </c>
      <c r="AC925" s="707">
        <f t="shared" si="685"/>
        <v>0.49148040248254249</v>
      </c>
      <c r="AD925" s="707">
        <f t="shared" si="685"/>
        <v>0.49169275875379048</v>
      </c>
      <c r="AE925" s="707">
        <f t="shared" si="685"/>
        <v>0.49062763610166327</v>
      </c>
      <c r="AF925" s="707">
        <f t="shared" si="685"/>
        <v>0.49163523278988208</v>
      </c>
    </row>
    <row r="926" spans="1:32" x14ac:dyDescent="0.2">
      <c r="A926" s="6">
        <v>9</v>
      </c>
      <c r="C926" s="707">
        <f t="shared" si="684"/>
        <v>1.285130517603617E-2</v>
      </c>
      <c r="D926" s="707">
        <f t="shared" si="684"/>
        <v>1.3542360082039975E-2</v>
      </c>
      <c r="E926" s="707">
        <f t="shared" si="684"/>
        <v>1.3690674524471117E-2</v>
      </c>
      <c r="F926" s="707">
        <f t="shared" si="684"/>
        <v>1.1494394742009249E-2</v>
      </c>
      <c r="G926" s="707">
        <f t="shared" si="685"/>
        <v>1.4024870543080365E-2</v>
      </c>
      <c r="H926" s="707">
        <f t="shared" si="685"/>
        <v>1.4429039367754266E-2</v>
      </c>
      <c r="I926" s="707">
        <f t="shared" si="685"/>
        <v>1.3340142390854992E-2</v>
      </c>
      <c r="J926" s="707">
        <f t="shared" si="685"/>
        <v>1.3716922108533813E-2</v>
      </c>
      <c r="K926" s="707">
        <f t="shared" si="685"/>
        <v>6.9403875781466886E-3</v>
      </c>
      <c r="L926" s="707">
        <f t="shared" si="685"/>
        <v>6.9386866498767031E-3</v>
      </c>
      <c r="M926" s="707">
        <f t="shared" si="685"/>
        <v>6.9381383984839758E-3</v>
      </c>
      <c r="N926" s="707">
        <f t="shared" si="685"/>
        <v>6.9383289395640244E-3</v>
      </c>
      <c r="O926" s="707">
        <f t="shared" si="685"/>
        <v>6.9347689056104347E-3</v>
      </c>
      <c r="P926" s="707">
        <f t="shared" si="685"/>
        <v>6.9360063835166488E-3</v>
      </c>
      <c r="Q926" s="707">
        <f t="shared" si="685"/>
        <v>6.9252581118845634E-3</v>
      </c>
      <c r="R926" s="707">
        <f t="shared" si="685"/>
        <v>4.4283114639230934E-3</v>
      </c>
      <c r="S926" s="707">
        <f t="shared" si="685"/>
        <v>4.4276617081486312E-3</v>
      </c>
      <c r="T926" s="707">
        <f t="shared" si="685"/>
        <v>4.4049007431577591E-3</v>
      </c>
      <c r="U926" s="707">
        <f t="shared" si="685"/>
        <v>4.401777161780359E-3</v>
      </c>
      <c r="V926" s="707">
        <f t="shared" si="685"/>
        <v>4.3832182960326562E-3</v>
      </c>
      <c r="W926" s="707">
        <f t="shared" si="685"/>
        <v>4.3782958472953762E-3</v>
      </c>
      <c r="X926" s="707">
        <f t="shared" si="685"/>
        <v>4.4410911066050905E-3</v>
      </c>
      <c r="Y926" s="707">
        <f t="shared" si="685"/>
        <v>4.418116517613117E-3</v>
      </c>
      <c r="Z926" s="707">
        <f t="shared" si="685"/>
        <v>4.4058779218147078E-3</v>
      </c>
      <c r="AA926" s="707">
        <f t="shared" si="685"/>
        <v>0.49040809468255447</v>
      </c>
      <c r="AB926" s="707">
        <f t="shared" si="685"/>
        <v>0.4916951691701234</v>
      </c>
      <c r="AC926" s="707">
        <f t="shared" si="685"/>
        <v>0.49146707323256883</v>
      </c>
      <c r="AD926" s="707">
        <f t="shared" si="685"/>
        <v>0.4916791534714598</v>
      </c>
      <c r="AE926" s="707">
        <f t="shared" si="685"/>
        <v>0.49061241337045347</v>
      </c>
      <c r="AF926" s="707">
        <f t="shared" si="685"/>
        <v>0.49162141084733885</v>
      </c>
    </row>
    <row r="927" spans="1:32" x14ac:dyDescent="0.2">
      <c r="A927" s="6">
        <v>11</v>
      </c>
      <c r="C927" s="707">
        <f t="shared" si="684"/>
        <v>1.2850034608695665E-2</v>
      </c>
      <c r="D927" s="707">
        <f t="shared" si="684"/>
        <v>1.3533095671851117E-2</v>
      </c>
      <c r="E927" s="707">
        <f t="shared" si="684"/>
        <v>1.3683418241506035E-2</v>
      </c>
      <c r="F927" s="707">
        <f t="shared" si="684"/>
        <v>1.1484887975024701E-2</v>
      </c>
      <c r="G927" s="707">
        <f t="shared" si="685"/>
        <v>1.4015185939105642E-2</v>
      </c>
      <c r="H927" s="707">
        <f t="shared" si="685"/>
        <v>1.4420702079805449E-2</v>
      </c>
      <c r="I927" s="707">
        <f t="shared" si="685"/>
        <v>1.3334042340629711E-2</v>
      </c>
      <c r="J927" s="707">
        <f t="shared" si="685"/>
        <v>1.371127900518904E-2</v>
      </c>
      <c r="K927" s="707">
        <f t="shared" si="685"/>
        <v>6.9400001111806064E-3</v>
      </c>
      <c r="L927" s="707">
        <f t="shared" si="685"/>
        <v>6.93834207207728E-3</v>
      </c>
      <c r="M927" s="707">
        <f t="shared" si="685"/>
        <v>6.9377806523421943E-3</v>
      </c>
      <c r="N927" s="707">
        <f t="shared" ref="G927:AF936" si="687" xml:space="preserve"> N$84 + ((-(N$86 * ((N$83 / 200 * N$82) - $A927 * 0.1 * (N$83 / 200 * N$82)) / ((1 - N$86 ^ 2) * (N$83 / 200 * N$82) / 2 * (1 / 2 * N$85 / 200 * N$84))) + ((N$86 * ((N$83 / 200 * N$82) - $A927 * 0.1 * (N$83 / 200 * N$82)) / ((1 - N$86 ^ 2) * (N$83 / 200 * N$82) / 2 * (1 / 2 * N$85 / 200 * N$84))) ^ 2 - 4 * (-1 / (2 * (1 - N$86 ^ 2) * (1 / 2 * N$85 / 200 * N$84) ^ 2)) * (-(((N$83 / 200 * N$82) - $A927 * 0.1 * (N$83 / 200 * N$82)) ^ 2) / (2 * (1 - N$86 ^ 2) * ((N$83 / 200 * N$82) / 2) ^ 2) + 2)) ^ 0.5) / (2 * (-1 / (2 * (1 - N$86 ^ 2) * (1 / 2 * N$85 / 200 * N$84) ^ 2))))</f>
        <v>6.9379717533573949E-3</v>
      </c>
      <c r="O927" s="707">
        <f t="shared" si="687"/>
        <v>6.9343657803297865E-3</v>
      </c>
      <c r="P927" s="707">
        <f t="shared" si="687"/>
        <v>6.9356206501052006E-3</v>
      </c>
      <c r="Q927" s="707">
        <f t="shared" si="687"/>
        <v>6.9246378268348618E-3</v>
      </c>
      <c r="R927" s="707">
        <f t="shared" si="687"/>
        <v>4.4276979164304424E-3</v>
      </c>
      <c r="S927" s="707">
        <f t="shared" si="687"/>
        <v>4.427005100771042E-3</v>
      </c>
      <c r="T927" s="707">
        <f t="shared" si="687"/>
        <v>4.4041658666099078E-3</v>
      </c>
      <c r="U927" s="707">
        <f t="shared" si="687"/>
        <v>4.4007219194938437E-3</v>
      </c>
      <c r="V927" s="707">
        <f t="shared" si="687"/>
        <v>4.3820868435404982E-3</v>
      </c>
      <c r="W927" s="707">
        <f t="shared" si="687"/>
        <v>4.3769735806332734E-3</v>
      </c>
      <c r="X927" s="707">
        <f t="shared" si="687"/>
        <v>4.4405314518184795E-3</v>
      </c>
      <c r="Y927" s="707">
        <f t="shared" si="687"/>
        <v>4.4171401377161492E-3</v>
      </c>
      <c r="Z927" s="707">
        <f t="shared" si="687"/>
        <v>4.4048894824799401E-3</v>
      </c>
      <c r="AA927" s="707">
        <f t="shared" si="687"/>
        <v>0.49038109745226188</v>
      </c>
      <c r="AB927" s="707">
        <f t="shared" si="687"/>
        <v>0.49166334022899438</v>
      </c>
      <c r="AC927" s="707">
        <f t="shared" si="687"/>
        <v>0.49144169165921819</v>
      </c>
      <c r="AD927" s="707">
        <f t="shared" si="687"/>
        <v>0.49165324430948737</v>
      </c>
      <c r="AE927" s="707">
        <f t="shared" si="687"/>
        <v>0.49058347959735765</v>
      </c>
      <c r="AF927" s="707">
        <f t="shared" si="687"/>
        <v>0.49159500711292653</v>
      </c>
    </row>
    <row r="928" spans="1:32" x14ac:dyDescent="0.2">
      <c r="A928" s="6">
        <v>12</v>
      </c>
      <c r="C928" s="707">
        <f t="shared" si="684"/>
        <v>1.2849873803914289E-2</v>
      </c>
      <c r="D928" s="707">
        <f t="shared" si="684"/>
        <v>1.3534619077566014E-2</v>
      </c>
      <c r="E928" s="707">
        <f t="shared" si="684"/>
        <v>1.3684362028067665E-2</v>
      </c>
      <c r="F928" s="707">
        <f t="shared" si="684"/>
        <v>1.1488993846800466E-2</v>
      </c>
      <c r="G928" s="707">
        <f t="shared" si="687"/>
        <v>1.4016522056112606E-2</v>
      </c>
      <c r="H928" s="707">
        <f t="shared" si="687"/>
        <v>1.4423160074734723E-2</v>
      </c>
      <c r="I928" s="707">
        <f t="shared" si="687"/>
        <v>1.333412962153536E-2</v>
      </c>
      <c r="J928" s="707">
        <f t="shared" si="687"/>
        <v>1.3712249924026311E-2</v>
      </c>
      <c r="K928" s="707">
        <f t="shared" si="687"/>
        <v>6.9398286011447324E-3</v>
      </c>
      <c r="L928" s="707">
        <f t="shared" si="687"/>
        <v>6.938198610625986E-3</v>
      </c>
      <c r="M928" s="707">
        <f t="shared" si="687"/>
        <v>6.9376324054524346E-3</v>
      </c>
      <c r="N928" s="707">
        <f t="shared" si="687"/>
        <v>6.9378198260344921E-3</v>
      </c>
      <c r="O928" s="707">
        <f t="shared" si="687"/>
        <v>6.9341959566246777E-3</v>
      </c>
      <c r="P928" s="707">
        <f t="shared" si="687"/>
        <v>6.9354633130839392E-3</v>
      </c>
      <c r="Q928" s="707">
        <f t="shared" si="687"/>
        <v>6.9243821131246882E-3</v>
      </c>
      <c r="R928" s="707">
        <f t="shared" si="687"/>
        <v>4.4274268413694549E-3</v>
      </c>
      <c r="S928" s="707">
        <f t="shared" si="687"/>
        <v>4.4267184955131414E-3</v>
      </c>
      <c r="T928" s="707">
        <f t="shared" si="687"/>
        <v>4.4038432750365623E-3</v>
      </c>
      <c r="U928" s="707">
        <f t="shared" si="687"/>
        <v>4.4002792948029485E-3</v>
      </c>
      <c r="V928" s="707">
        <f t="shared" si="687"/>
        <v>4.381647477857728E-3</v>
      </c>
      <c r="W928" s="707">
        <f t="shared" si="687"/>
        <v>4.3765138998696782E-3</v>
      </c>
      <c r="X928" s="707">
        <f t="shared" si="687"/>
        <v>4.4402884592594626E-3</v>
      </c>
      <c r="Y928" s="707">
        <f t="shared" si="687"/>
        <v>4.4167104186085514E-3</v>
      </c>
      <c r="Z928" s="707">
        <f t="shared" si="687"/>
        <v>4.4044695356668748E-3</v>
      </c>
      <c r="AA928" s="707">
        <f t="shared" si="687"/>
        <v>0.49036829943867966</v>
      </c>
      <c r="AB928" s="707">
        <f t="shared" si="687"/>
        <v>0.49164829075893829</v>
      </c>
      <c r="AC928" s="707">
        <f t="shared" si="687"/>
        <v>0.49142963933584116</v>
      </c>
      <c r="AD928" s="707">
        <f t="shared" si="687"/>
        <v>0.49164094042984563</v>
      </c>
      <c r="AE928" s="707">
        <f t="shared" si="687"/>
        <v>0.49056976855547163</v>
      </c>
      <c r="AF928" s="707">
        <f t="shared" si="687"/>
        <v>0.49158242532105739</v>
      </c>
    </row>
    <row r="929" spans="1:32" x14ac:dyDescent="0.2">
      <c r="A929" s="6">
        <v>13</v>
      </c>
      <c r="C929" s="707">
        <f t="shared" si="684"/>
        <v>1.2850046105008278E-2</v>
      </c>
      <c r="D929" s="707">
        <f t="shared" si="684"/>
        <v>1.3540464003532123E-2</v>
      </c>
      <c r="E929" s="707">
        <f t="shared" si="684"/>
        <v>1.3688515517166053E-2</v>
      </c>
      <c r="F929" s="707">
        <f t="shared" si="684"/>
        <v>1.1499319320860622E-2</v>
      </c>
      <c r="G929" s="707">
        <f t="shared" si="687"/>
        <v>1.4022195705759549E-2</v>
      </c>
      <c r="H929" s="707">
        <f t="shared" si="687"/>
        <v>1.4430270273175038E-2</v>
      </c>
      <c r="I929" s="707">
        <f t="shared" si="687"/>
        <v>1.3336419434718026E-2</v>
      </c>
      <c r="J929" s="707">
        <f t="shared" si="687"/>
        <v>1.3715883330570697E-2</v>
      </c>
      <c r="K929" s="707">
        <f t="shared" si="687"/>
        <v>6.9396726929849281E-3</v>
      </c>
      <c r="L929" s="707">
        <f t="shared" si="687"/>
        <v>6.9380753873616039E-3</v>
      </c>
      <c r="M929" s="707">
        <f t="shared" si="687"/>
        <v>6.9375056595421996E-3</v>
      </c>
      <c r="N929" s="707">
        <f t="shared" si="687"/>
        <v>6.9376866193087226E-3</v>
      </c>
      <c r="O929" s="707">
        <f t="shared" si="687"/>
        <v>6.9340484151033414E-3</v>
      </c>
      <c r="P929" s="707">
        <f t="shared" si="687"/>
        <v>6.9353309195257541E-3</v>
      </c>
      <c r="Q929" s="707">
        <f t="shared" si="687"/>
        <v>6.9241646109311555E-3</v>
      </c>
      <c r="R929" s="707">
        <f t="shared" si="687"/>
        <v>4.4271808284178848E-3</v>
      </c>
      <c r="S929" s="707">
        <f t="shared" si="687"/>
        <v>4.4264611644603746E-3</v>
      </c>
      <c r="T929" s="707">
        <f t="shared" si="687"/>
        <v>4.4035521678976244E-3</v>
      </c>
      <c r="U929" s="707">
        <f t="shared" si="687"/>
        <v>4.3998963415080436E-3</v>
      </c>
      <c r="V929" s="707">
        <f t="shared" si="687"/>
        <v>4.3812968230681907E-3</v>
      </c>
      <c r="W929" s="707">
        <f t="shared" si="687"/>
        <v>4.3761956480197822E-3</v>
      </c>
      <c r="X929" s="707">
        <f t="shared" si="687"/>
        <v>4.4400713264383766E-3</v>
      </c>
      <c r="Y929" s="707">
        <f t="shared" si="687"/>
        <v>4.4163217487048117E-3</v>
      </c>
      <c r="Z929" s="707">
        <f t="shared" si="687"/>
        <v>4.4041017317936401E-3</v>
      </c>
      <c r="AA929" s="707">
        <f t="shared" si="687"/>
        <v>0.49035599327943008</v>
      </c>
      <c r="AB929" s="707">
        <f t="shared" si="687"/>
        <v>0.49163384855879094</v>
      </c>
      <c r="AC929" s="707">
        <f t="shared" si="687"/>
        <v>0.49141803524289301</v>
      </c>
      <c r="AD929" s="707">
        <f t="shared" si="687"/>
        <v>0.49162909337230071</v>
      </c>
      <c r="AE929" s="707">
        <f t="shared" si="687"/>
        <v>0.49055658815109904</v>
      </c>
      <c r="AF929" s="707">
        <f t="shared" si="687"/>
        <v>0.49157027885042764</v>
      </c>
    </row>
    <row r="930" spans="1:32" x14ac:dyDescent="0.2">
      <c r="A930" s="6">
        <v>14</v>
      </c>
      <c r="C930" s="707">
        <f t="shared" si="684"/>
        <v>1.2850579690824912E-2</v>
      </c>
      <c r="D930" s="707">
        <f t="shared" si="684"/>
        <v>1.3550996025586348E-2</v>
      </c>
      <c r="E930" s="707">
        <f t="shared" si="684"/>
        <v>1.3696150231233783E-2</v>
      </c>
      <c r="F930" s="707">
        <f t="shared" si="684"/>
        <v>1.1516390539899897E-2</v>
      </c>
      <c r="G930" s="707">
        <f t="shared" si="687"/>
        <v>1.4032573818439659E-2</v>
      </c>
      <c r="H930" s="707">
        <f t="shared" si="687"/>
        <v>1.4442426224871187E-2</v>
      </c>
      <c r="I930" s="707">
        <f t="shared" si="687"/>
        <v>1.334109810178068E-2</v>
      </c>
      <c r="J930" s="707">
        <f t="shared" si="687"/>
        <v>1.3722404456017516E-2</v>
      </c>
      <c r="K930" s="707">
        <f t="shared" si="687"/>
        <v>6.9395337065304612E-3</v>
      </c>
      <c r="L930" s="707">
        <f t="shared" si="687"/>
        <v>6.9379741143187172E-3</v>
      </c>
      <c r="M930" s="707">
        <f t="shared" si="687"/>
        <v>6.9374022334710876E-3</v>
      </c>
      <c r="N930" s="707">
        <f t="shared" si="687"/>
        <v>6.9375737168352724E-3</v>
      </c>
      <c r="O930" s="707">
        <f t="shared" si="687"/>
        <v>6.9339250407107755E-3</v>
      </c>
      <c r="P930" s="707">
        <f t="shared" si="687"/>
        <v>6.9352255795046124E-3</v>
      </c>
      <c r="Q930" s="707">
        <f t="shared" si="687"/>
        <v>6.9239885527294957E-3</v>
      </c>
      <c r="R930" s="707">
        <f t="shared" si="687"/>
        <v>4.4269619976865003E-3</v>
      </c>
      <c r="S930" s="707">
        <f t="shared" si="687"/>
        <v>4.4262355840426586E-3</v>
      </c>
      <c r="T930" s="707">
        <f t="shared" si="687"/>
        <v>4.4032952085957351E-3</v>
      </c>
      <c r="U930" s="707">
        <f t="shared" si="687"/>
        <v>4.3995781074671197E-3</v>
      </c>
      <c r="V930" s="707">
        <f t="shared" si="687"/>
        <v>4.3810423836048527E-3</v>
      </c>
      <c r="W930" s="707">
        <f t="shared" si="687"/>
        <v>4.3760307891588376E-3</v>
      </c>
      <c r="X930" s="707">
        <f t="shared" si="687"/>
        <v>4.4398822409407899E-3</v>
      </c>
      <c r="Y930" s="707">
        <f t="shared" si="687"/>
        <v>4.4159776005322339E-3</v>
      </c>
      <c r="Z930" s="707">
        <f t="shared" si="687"/>
        <v>4.4037904818539971E-3</v>
      </c>
      <c r="AA930" s="707">
        <f t="shared" si="687"/>
        <v>0.49034422058256982</v>
      </c>
      <c r="AB930" s="707">
        <f t="shared" si="687"/>
        <v>0.49162006500010497</v>
      </c>
      <c r="AC930" s="707">
        <f t="shared" si="687"/>
        <v>0.49140691729809827</v>
      </c>
      <c r="AD930" s="707">
        <f t="shared" si="687"/>
        <v>0.49161774178138307</v>
      </c>
      <c r="AE930" s="707">
        <f t="shared" si="687"/>
        <v>0.49054398327313115</v>
      </c>
      <c r="AF930" s="707">
        <f t="shared" si="687"/>
        <v>0.49155860452671829</v>
      </c>
    </row>
    <row r="931" spans="1:32" x14ac:dyDescent="0.2">
      <c r="A931" s="6">
        <v>15</v>
      </c>
      <c r="C931" s="707">
        <f t="shared" si="684"/>
        <v>1.2851521358107037E-2</v>
      </c>
      <c r="D931" s="707">
        <f t="shared" si="684"/>
        <v>1.3566822257222796E-2</v>
      </c>
      <c r="E931" s="707">
        <f t="shared" si="684"/>
        <v>1.3707717088838599E-2</v>
      </c>
      <c r="F931" s="707">
        <f t="shared" si="684"/>
        <v>1.1541081271540648E-2</v>
      </c>
      <c r="G931" s="707">
        <f t="shared" si="687"/>
        <v>1.4048265757164977E-2</v>
      </c>
      <c r="H931" s="707">
        <f t="shared" si="687"/>
        <v>1.4460281499716333E-2</v>
      </c>
      <c r="I931" s="707">
        <f t="shared" si="687"/>
        <v>1.3348475047876705E-2</v>
      </c>
      <c r="J931" s="707">
        <f t="shared" si="687"/>
        <v>1.3732187342861288E-2</v>
      </c>
      <c r="K931" s="707">
        <f t="shared" si="687"/>
        <v>6.939413833627936E-3</v>
      </c>
      <c r="L931" s="707">
        <f t="shared" si="687"/>
        <v>6.9378976346811273E-3</v>
      </c>
      <c r="M931" s="707">
        <f t="shared" si="687"/>
        <v>6.9373251478276974E-3</v>
      </c>
      <c r="N931" s="707">
        <f t="shared" si="687"/>
        <v>6.9374837485976842E-3</v>
      </c>
      <c r="O931" s="707">
        <f t="shared" si="687"/>
        <v>6.9338289637839116E-3</v>
      </c>
      <c r="P931" s="707">
        <f t="shared" si="687"/>
        <v>6.9351507972301779E-3</v>
      </c>
      <c r="Q931" s="707">
        <f t="shared" si="687"/>
        <v>6.9238593067063731E-3</v>
      </c>
      <c r="R931" s="707">
        <f t="shared" si="687"/>
        <v>4.4267738700531261E-3</v>
      </c>
      <c r="S931" s="707">
        <f t="shared" si="687"/>
        <v>4.4260458668786877E-3</v>
      </c>
      <c r="T931" s="707">
        <f t="shared" si="687"/>
        <v>4.4030768202560615E-3</v>
      </c>
      <c r="U931" s="707">
        <f t="shared" si="687"/>
        <v>4.3993329756814381E-3</v>
      </c>
      <c r="V931" s="707">
        <f t="shared" si="687"/>
        <v>4.3808966221144741E-3</v>
      </c>
      <c r="W931" s="707">
        <f t="shared" si="687"/>
        <v>4.3760391920823084E-3</v>
      </c>
      <c r="X931" s="707">
        <f t="shared" si="687"/>
        <v>4.439724835700239E-3</v>
      </c>
      <c r="Y931" s="707">
        <f t="shared" si="687"/>
        <v>4.4156837409330702E-3</v>
      </c>
      <c r="Z931" s="707">
        <f t="shared" si="687"/>
        <v>4.4035431112058191E-3</v>
      </c>
      <c r="AA931" s="707">
        <f t="shared" si="687"/>
        <v>0.49033305044679221</v>
      </c>
      <c r="AB931" s="707">
        <f t="shared" si="687"/>
        <v>0.49160702539585704</v>
      </c>
      <c r="AC931" s="707">
        <f t="shared" si="687"/>
        <v>0.49139634847159847</v>
      </c>
      <c r="AD931" s="707">
        <f t="shared" si="687"/>
        <v>0.49160694983424397</v>
      </c>
      <c r="AE931" s="707">
        <f t="shared" si="687"/>
        <v>0.49053202846875882</v>
      </c>
      <c r="AF931" s="707">
        <f t="shared" si="687"/>
        <v>0.49154746350650924</v>
      </c>
    </row>
    <row r="932" spans="1:32" x14ac:dyDescent="0.2">
      <c r="A932" s="6">
        <v>17</v>
      </c>
      <c r="C932" s="707">
        <f t="shared" si="684"/>
        <v>1.2854994553991424E-2</v>
      </c>
      <c r="D932" s="707">
        <f t="shared" si="684"/>
        <v>1.3619100648765627E-2</v>
      </c>
      <c r="E932" s="707">
        <f t="shared" si="684"/>
        <v>1.3746170203343507E-2</v>
      </c>
      <c r="F932" s="707">
        <f t="shared" si="684"/>
        <v>1.1620147906504345E-2</v>
      </c>
      <c r="G932" s="707">
        <f t="shared" si="687"/>
        <v>1.4100351987468316E-2</v>
      </c>
      <c r="H932" s="707">
        <f t="shared" si="687"/>
        <v>1.4518196276238357E-2</v>
      </c>
      <c r="I932" s="707">
        <f t="shared" si="687"/>
        <v>1.3373741276033215E-2</v>
      </c>
      <c r="J932" s="707">
        <f t="shared" si="687"/>
        <v>1.3764460746566561E-2</v>
      </c>
      <c r="K932" s="707">
        <f t="shared" si="687"/>
        <v>6.9392485530939017E-3</v>
      </c>
      <c r="L932" s="707">
        <f t="shared" si="687"/>
        <v>6.9378412690506161E-3</v>
      </c>
      <c r="M932" s="707">
        <f t="shared" si="687"/>
        <v>6.9372735972937161E-3</v>
      </c>
      <c r="N932" s="707">
        <f t="shared" si="687"/>
        <v>6.9373931625527222E-3</v>
      </c>
      <c r="O932" s="707">
        <f t="shared" si="687"/>
        <v>6.9337431592465058E-3</v>
      </c>
      <c r="P932" s="707">
        <f t="shared" si="687"/>
        <v>6.9351202838601276E-3</v>
      </c>
      <c r="Q932" s="707">
        <f t="shared" si="687"/>
        <v>6.9237831921466391E-3</v>
      </c>
      <c r="R932" s="707">
        <f t="shared" si="687"/>
        <v>4.4265172322452981E-3</v>
      </c>
      <c r="S932" s="707">
        <f t="shared" si="687"/>
        <v>4.4258061536720499E-3</v>
      </c>
      <c r="T932" s="707">
        <f t="shared" si="687"/>
        <v>4.4027903137705219E-3</v>
      </c>
      <c r="U932" s="707">
        <f t="shared" si="687"/>
        <v>4.3991275141847886E-3</v>
      </c>
      <c r="V932" s="707">
        <f t="shared" si="687"/>
        <v>4.3810285021063334E-3</v>
      </c>
      <c r="W932" s="707">
        <f t="shared" si="687"/>
        <v>4.3767310156220254E-3</v>
      </c>
      <c r="X932" s="707">
        <f t="shared" si="687"/>
        <v>4.4395334496319869E-3</v>
      </c>
      <c r="Y932" s="707">
        <f t="shared" si="687"/>
        <v>4.4152919430506515E-3</v>
      </c>
      <c r="Z932" s="707">
        <f t="shared" si="687"/>
        <v>4.4032972398612884E-3</v>
      </c>
      <c r="AA932" s="707">
        <f t="shared" si="687"/>
        <v>0.49031305771767469</v>
      </c>
      <c r="AB932" s="707">
        <f t="shared" si="687"/>
        <v>0.4915838445899719</v>
      </c>
      <c r="AC932" s="707">
        <f t="shared" si="687"/>
        <v>0.49137735015108774</v>
      </c>
      <c r="AD932" s="707">
        <f t="shared" si="687"/>
        <v>0.49158754627911844</v>
      </c>
      <c r="AE932" s="707">
        <f t="shared" si="687"/>
        <v>0.49051065150840001</v>
      </c>
      <c r="AF932" s="707">
        <f t="shared" si="687"/>
        <v>0.49152725918507323</v>
      </c>
    </row>
    <row r="933" spans="1:32" x14ac:dyDescent="0.2">
      <c r="A933" s="6">
        <v>18.8</v>
      </c>
      <c r="C933" s="707">
        <f t="shared" si="684"/>
        <v>1.2861321037674062E-2</v>
      </c>
      <c r="D933" s="707">
        <f t="shared" si="684"/>
        <v>1.3707674004144507E-2</v>
      </c>
      <c r="E933" s="707">
        <f t="shared" si="684"/>
        <v>1.3811618043779193E-2</v>
      </c>
      <c r="F933" s="707">
        <f t="shared" si="684"/>
        <v>1.1751068171877606E-2</v>
      </c>
      <c r="G933" s="707">
        <f t="shared" si="687"/>
        <v>1.4188906250826281E-2</v>
      </c>
      <c r="H933" s="707">
        <f t="shared" si="687"/>
        <v>1.4615019708077734E-2</v>
      </c>
      <c r="I933" s="707">
        <f t="shared" si="687"/>
        <v>1.3417643645517724E-2</v>
      </c>
      <c r="J933" s="707">
        <f t="shared" si="687"/>
        <v>1.3819088999987234E-2</v>
      </c>
      <c r="K933" s="707">
        <f t="shared" si="687"/>
        <v>6.9392497093464693E-3</v>
      </c>
      <c r="L933" s="707">
        <f t="shared" si="687"/>
        <v>6.9379849961465484E-3</v>
      </c>
      <c r="M933" s="707">
        <f t="shared" si="687"/>
        <v>6.9374337913661174E-3</v>
      </c>
      <c r="N933" s="707">
        <f t="shared" si="687"/>
        <v>6.9374915096983751E-3</v>
      </c>
      <c r="O933" s="707">
        <f t="shared" si="687"/>
        <v>6.9338800308220505E-3</v>
      </c>
      <c r="P933" s="707">
        <f t="shared" si="687"/>
        <v>6.9353324880655721E-3</v>
      </c>
      <c r="Q933" s="707">
        <f t="shared" si="687"/>
        <v>6.924081839764203E-3</v>
      </c>
      <c r="R933" s="707">
        <f t="shared" si="687"/>
        <v>4.4265270644557224E-3</v>
      </c>
      <c r="S933" s="707">
        <f t="shared" si="687"/>
        <v>4.42587168943417E-3</v>
      </c>
      <c r="T933" s="707">
        <f t="shared" si="687"/>
        <v>4.4028349723014273E-3</v>
      </c>
      <c r="U933" s="707">
        <f t="shared" si="687"/>
        <v>4.3995159442060637E-3</v>
      </c>
      <c r="V933" s="707">
        <f t="shared" si="687"/>
        <v>4.3819995619530702E-3</v>
      </c>
      <c r="W933" s="707">
        <f t="shared" si="687"/>
        <v>4.3787125593650429E-3</v>
      </c>
      <c r="X933" s="707">
        <f t="shared" si="687"/>
        <v>4.4396096723248214E-3</v>
      </c>
      <c r="Y933" s="707">
        <f t="shared" si="687"/>
        <v>4.4153337412511312E-3</v>
      </c>
      <c r="Z933" s="707">
        <f t="shared" si="687"/>
        <v>4.4035769647619103E-3</v>
      </c>
      <c r="AA933" s="707">
        <f t="shared" si="687"/>
        <v>0.49029979018414632</v>
      </c>
      <c r="AB933" s="707">
        <f t="shared" si="687"/>
        <v>0.49156881674391151</v>
      </c>
      <c r="AC933" s="707">
        <f t="shared" si="687"/>
        <v>0.49136455843031906</v>
      </c>
      <c r="AD933" s="707">
        <f t="shared" si="687"/>
        <v>0.49157447239919577</v>
      </c>
      <c r="AE933" s="707">
        <f t="shared" si="687"/>
        <v>0.49049651081024048</v>
      </c>
      <c r="AF933" s="707">
        <f t="shared" si="687"/>
        <v>0.49151325802709017</v>
      </c>
    </row>
    <row r="934" spans="1:32" x14ac:dyDescent="0.2">
      <c r="A934" s="6">
        <v>19.2</v>
      </c>
      <c r="C934" s="707">
        <f t="shared" si="684"/>
        <v>1.286366099947193E-2</v>
      </c>
      <c r="D934" s="707">
        <f t="shared" si="684"/>
        <v>1.3739475133110659E-2</v>
      </c>
      <c r="E934" s="707">
        <f t="shared" si="684"/>
        <v>1.383516247347528E-2</v>
      </c>
      <c r="F934" s="707">
        <f t="shared" si="684"/>
        <v>1.1797602218884089E-2</v>
      </c>
      <c r="G934" s="707">
        <f t="shared" si="687"/>
        <v>1.4220748038150257E-2</v>
      </c>
      <c r="H934" s="707">
        <f t="shared" si="687"/>
        <v>1.4649581470542898E-2</v>
      </c>
      <c r="I934" s="707">
        <f t="shared" si="687"/>
        <v>1.3433575943266763E-2</v>
      </c>
      <c r="J934" s="707">
        <f t="shared" si="687"/>
        <v>1.3838694608335927E-2</v>
      </c>
      <c r="K934" s="707">
        <f t="shared" si="687"/>
        <v>6.9392937161842898E-3</v>
      </c>
      <c r="L934" s="707">
        <f t="shared" si="687"/>
        <v>6.9380736862729685E-3</v>
      </c>
      <c r="M934" s="707">
        <f t="shared" si="687"/>
        <v>6.9375296818718051E-3</v>
      </c>
      <c r="N934" s="707">
        <f t="shared" si="687"/>
        <v>6.9375658598525196E-3</v>
      </c>
      <c r="O934" s="707">
        <f t="shared" si="687"/>
        <v>6.9339729291591429E-3</v>
      </c>
      <c r="P934" s="707">
        <f t="shared" si="687"/>
        <v>6.9354495895950245E-3</v>
      </c>
      <c r="Q934" s="707">
        <f t="shared" si="687"/>
        <v>6.924255356461375E-3</v>
      </c>
      <c r="R934" s="707">
        <f t="shared" si="687"/>
        <v>4.4265995271320444E-3</v>
      </c>
      <c r="S934" s="707">
        <f t="shared" si="687"/>
        <v>4.4259683419965888E-3</v>
      </c>
      <c r="T934" s="707">
        <f t="shared" si="687"/>
        <v>4.4029331832782506E-3</v>
      </c>
      <c r="U934" s="707">
        <f t="shared" si="687"/>
        <v>4.3997695891206633E-3</v>
      </c>
      <c r="V934" s="707">
        <f t="shared" si="687"/>
        <v>4.3824641110674347E-3</v>
      </c>
      <c r="W934" s="707">
        <f t="shared" si="687"/>
        <v>4.3795494893285993E-3</v>
      </c>
      <c r="X934" s="707">
        <f t="shared" si="687"/>
        <v>4.4396991251061547E-3</v>
      </c>
      <c r="Y934" s="707">
        <f t="shared" si="687"/>
        <v>4.4154581375810374E-3</v>
      </c>
      <c r="Z934" s="707">
        <f t="shared" si="687"/>
        <v>4.4037853421147943E-3</v>
      </c>
      <c r="AA934" s="707">
        <f t="shared" si="687"/>
        <v>0.49029822107328525</v>
      </c>
      <c r="AB934" s="707">
        <f t="shared" si="687"/>
        <v>0.49156718009427658</v>
      </c>
      <c r="AC934" s="707">
        <f t="shared" si="687"/>
        <v>0.49136297272795898</v>
      </c>
      <c r="AD934" s="707">
        <f t="shared" si="687"/>
        <v>0.49157284808706769</v>
      </c>
      <c r="AE934" s="707">
        <f t="shared" si="687"/>
        <v>0.49049485641638241</v>
      </c>
      <c r="AF934" s="707">
        <f t="shared" si="687"/>
        <v>0.49151136736169004</v>
      </c>
    </row>
    <row r="935" spans="1:32" x14ac:dyDescent="0.2">
      <c r="A935" s="6">
        <v>19.600000000000001</v>
      </c>
      <c r="C935" s="707">
        <f t="shared" si="684"/>
        <v>1.2866902443305663E-2</v>
      </c>
      <c r="D935" s="707">
        <f t="shared" si="684"/>
        <v>1.3782971561266046E-2</v>
      </c>
      <c r="E935" s="707">
        <f t="shared" si="684"/>
        <v>1.3867393298072624E-2</v>
      </c>
      <c r="F935" s="707">
        <f t="shared" si="684"/>
        <v>1.1860968330841231E-2</v>
      </c>
      <c r="G935" s="707">
        <f t="shared" si="687"/>
        <v>1.4264328458876079E-2</v>
      </c>
      <c r="H935" s="707">
        <f t="shared" si="687"/>
        <v>1.4696733457926148E-2</v>
      </c>
      <c r="I935" s="707">
        <f t="shared" si="687"/>
        <v>1.3455468938283491E-2</v>
      </c>
      <c r="J935" s="707">
        <f t="shared" si="687"/>
        <v>1.3865505688026247E-2</v>
      </c>
      <c r="K935" s="707">
        <f t="shared" si="687"/>
        <v>6.9393799462671608E-3</v>
      </c>
      <c r="L935" s="707">
        <f t="shared" si="687"/>
        <v>6.938217146859142E-3</v>
      </c>
      <c r="M935" s="707">
        <f t="shared" si="687"/>
        <v>6.9376837603238144E-3</v>
      </c>
      <c r="N935" s="707">
        <f t="shared" si="687"/>
        <v>6.9376908734241046E-3</v>
      </c>
      <c r="O935" s="707">
        <f t="shared" si="687"/>
        <v>6.9341261296099951E-3</v>
      </c>
      <c r="P935" s="707">
        <f t="shared" si="687"/>
        <v>6.9356341954392841E-3</v>
      </c>
      <c r="Q935" s="707">
        <f t="shared" si="687"/>
        <v>6.9245322847113367E-3</v>
      </c>
      <c r="R935" s="707">
        <f t="shared" si="687"/>
        <v>4.4267398152149137E-3</v>
      </c>
      <c r="S935" s="707">
        <f t="shared" si="687"/>
        <v>4.4261442191299129E-3</v>
      </c>
      <c r="T935" s="707">
        <f t="shared" si="687"/>
        <v>4.4031166003535727E-3</v>
      </c>
      <c r="U935" s="707">
        <f t="shared" si="687"/>
        <v>4.4001847223052665E-3</v>
      </c>
      <c r="V935" s="707">
        <f t="shared" si="687"/>
        <v>4.3831687378344305E-3</v>
      </c>
      <c r="W935" s="707">
        <f t="shared" si="687"/>
        <v>4.3807691673445944E-3</v>
      </c>
      <c r="X935" s="707">
        <f t="shared" si="687"/>
        <v>4.4398585619103486E-3</v>
      </c>
      <c r="Y935" s="707">
        <f t="shared" si="687"/>
        <v>4.4156936250762521E-3</v>
      </c>
      <c r="Z935" s="707">
        <f t="shared" si="687"/>
        <v>4.4041348335308959E-3</v>
      </c>
      <c r="AA935" s="707">
        <f t="shared" si="687"/>
        <v>0.49029798306426892</v>
      </c>
      <c r="AB935" s="707">
        <f t="shared" si="687"/>
        <v>0.49156718689483014</v>
      </c>
      <c r="AC935" s="707">
        <f t="shared" si="687"/>
        <v>0.49136260006838633</v>
      </c>
      <c r="AD935" s="707">
        <f t="shared" si="687"/>
        <v>0.49157246006929639</v>
      </c>
      <c r="AE935" s="707">
        <f t="shared" si="687"/>
        <v>0.49049463808301219</v>
      </c>
      <c r="AF935" s="707">
        <f t="shared" si="687"/>
        <v>0.49151065480303052</v>
      </c>
    </row>
    <row r="936" spans="1:32" x14ac:dyDescent="0.2">
      <c r="A936" s="6">
        <v>19.998999999999999</v>
      </c>
      <c r="C936" s="707">
        <f t="shared" si="684"/>
        <v>1.2874952541447229E-2</v>
      </c>
      <c r="D936" s="707">
        <f t="shared" si="684"/>
        <v>1.3888849040410123E-2</v>
      </c>
      <c r="E936" s="707">
        <f t="shared" si="684"/>
        <v>1.3945956296777961E-2</v>
      </c>
      <c r="F936" s="707">
        <f t="shared" si="684"/>
        <v>1.2014112353359504E-2</v>
      </c>
      <c r="G936" s="707">
        <f t="shared" si="687"/>
        <v>1.437052126200807E-2</v>
      </c>
      <c r="H936" s="707">
        <f t="shared" si="687"/>
        <v>1.4811039083955204E-2</v>
      </c>
      <c r="I936" s="707">
        <f t="shared" si="687"/>
        <v>1.3509156128040441E-2</v>
      </c>
      <c r="J936" s="707">
        <f t="shared" si="687"/>
        <v>1.3930749687606563E-2</v>
      </c>
      <c r="K936" s="707">
        <f t="shared" si="687"/>
        <v>6.9396915661022766E-3</v>
      </c>
      <c r="L936" s="707">
        <f t="shared" si="687"/>
        <v>6.9386528958296934E-3</v>
      </c>
      <c r="M936" s="707">
        <f t="shared" si="687"/>
        <v>6.938148360774726E-3</v>
      </c>
      <c r="N936" s="707">
        <f t="shared" si="687"/>
        <v>6.9380862769354325E-3</v>
      </c>
      <c r="O936" s="707">
        <f t="shared" si="687"/>
        <v>6.9346011505783001E-3</v>
      </c>
      <c r="P936" s="707">
        <f t="shared" si="687"/>
        <v>6.9361790257614058E-3</v>
      </c>
      <c r="Q936" s="707">
        <f t="shared" si="687"/>
        <v>6.9253610645581744E-3</v>
      </c>
      <c r="R936" s="707">
        <f t="shared" si="687"/>
        <v>4.4272421542128765E-3</v>
      </c>
      <c r="S936" s="707">
        <f t="shared" si="687"/>
        <v>4.4267429657035657E-3</v>
      </c>
      <c r="T936" s="707">
        <f t="shared" si="687"/>
        <v>4.4037548282462452E-3</v>
      </c>
      <c r="U936" s="707">
        <f t="shared" si="687"/>
        <v>4.4014616744551087E-3</v>
      </c>
      <c r="V936" s="707">
        <f t="shared" si="687"/>
        <v>4.3851543750566841E-3</v>
      </c>
      <c r="W936" s="707">
        <f t="shared" si="687"/>
        <v>4.3840308781955915E-3</v>
      </c>
      <c r="X936" s="707">
        <f t="shared" si="687"/>
        <v>4.4403915355785807E-3</v>
      </c>
      <c r="Y936" s="707">
        <f t="shared" si="687"/>
        <v>4.4165221011274519E-3</v>
      </c>
      <c r="Z936" s="707">
        <f t="shared" si="687"/>
        <v>4.4052374454792648E-3</v>
      </c>
      <c r="AA936" s="707">
        <f t="shared" si="687"/>
        <v>0.49030485793326495</v>
      </c>
      <c r="AB936" s="707">
        <f t="shared" si="687"/>
        <v>0.49157597488687271</v>
      </c>
      <c r="AC936" s="707">
        <f t="shared" si="687"/>
        <v>0.491368709815654</v>
      </c>
      <c r="AD936" s="707">
        <f t="shared" si="687"/>
        <v>0.49157867873349109</v>
      </c>
      <c r="AE936" s="707">
        <f t="shared" si="687"/>
        <v>0.49050209338872552</v>
      </c>
      <c r="AF936" s="707">
        <f t="shared" si="687"/>
        <v>0.49151623883225809</v>
      </c>
    </row>
    <row r="937" spans="1:32" x14ac:dyDescent="0.2">
      <c r="A937" s="6">
        <v>19.600000000000001</v>
      </c>
      <c r="C937" s="707">
        <f t="shared" ref="C937:F955" si="688" xml:space="preserve"> C$84 + ((-(C$86 * ((C$83 / 200 * C$82) - $A937 * 0.1 * (C$83 / 200 * C$82)) / ((1 - C$86 ^ 2) * (C$83 / 200 * C$82) / 2 * (1 / 2 * C$85 / 200 * C$84))) - ((C$86 * ((C$83 / 200 * C$82) - $A937 * 0.1 * (C$83 / 200 * C$82)) / ((1 - C$86 ^ 2) * (C$83 / 200 * C$82) / 2 * (1 / 2 * C$85 / 200 * C$84))) ^ 2 - 4 * (-1 / (2 * (1 - C$86 ^ 2) * (1 / 2 * C$85 / 200 * C$84) ^ 2)) * (-(((C$83 / 200 * C$82) - $A937 * 0.1 * (C$83 / 200 * C$82)) ^ 2) / (2 * (1 - C$86 ^ 2) * ((C$83 / 200 * C$82) / 2) ^ 2) + 2)) ^ 0.5) / (2 * (-1 / (2 * (1 - C$86 ^ 2) * (1 / 2 * C$85 / 200 * C$84) ^ 2))))</f>
        <v>1.288439297934661E-2</v>
      </c>
      <c r="D937" s="707">
        <f t="shared" si="688"/>
        <v>1.4009883517179108E-2</v>
      </c>
      <c r="E937" s="707">
        <f t="shared" si="688"/>
        <v>1.4035926554467785E-2</v>
      </c>
      <c r="F937" s="707">
        <f t="shared" si="688"/>
        <v>1.2187543711103791E-2</v>
      </c>
      <c r="G937" s="707">
        <f t="shared" ref="G937:AF947" si="689" xml:space="preserve"> G$84 + ((-(G$86 * ((G$83 / 200 * G$82) - $A937 * 0.1 * (G$83 / 200 * G$82)) / ((1 - G$86 ^ 2) * (G$83 / 200 * G$82) / 2 * (1 / 2 * G$85 / 200 * G$84))) - ((G$86 * ((G$83 / 200 * G$82) - $A937 * 0.1 * (G$83 / 200 * G$82)) / ((1 - G$86 ^ 2) * (G$83 / 200 * G$82) / 2 * (1 / 2 * G$85 / 200 * G$84))) ^ 2 - 4 * (-1 / (2 * (1 - G$86 ^ 2) * (1 / 2 * G$85 / 200 * G$84) ^ 2)) * (-(((G$83 / 200 * G$82) - $A937 * 0.1 * (G$83 / 200 * G$82)) ^ 2) / (2 * (1 - G$86 ^ 2) * ((G$83 / 200 * G$82) / 2) ^ 2) + 2)) ^ 0.5) / (2 * (-1 / (2 * (1 - G$86 ^ 2) * (1 / 2 * G$85 / 200 * G$84) ^ 2))))</f>
        <v>1.4492081184296761E-2</v>
      </c>
      <c r="H937" s="707">
        <f t="shared" si="689"/>
        <v>1.4941008744545341E-2</v>
      </c>
      <c r="I937" s="707">
        <f t="shared" si="689"/>
        <v>1.3571118264883148E-2</v>
      </c>
      <c r="J937" s="707">
        <f t="shared" si="689"/>
        <v>1.4005306095775433E-2</v>
      </c>
      <c r="K937" s="707">
        <f t="shared" si="689"/>
        <v>6.940199160804926E-3</v>
      </c>
      <c r="L937" s="707">
        <f t="shared" si="689"/>
        <v>6.9392798022002312E-3</v>
      </c>
      <c r="M937" s="707">
        <f t="shared" si="689"/>
        <v>6.938812721669462E-3</v>
      </c>
      <c r="N937" s="707">
        <f t="shared" si="689"/>
        <v>6.9386738440141392E-3</v>
      </c>
      <c r="O937" s="707">
        <f t="shared" si="689"/>
        <v>6.9352961099890939E-3</v>
      </c>
      <c r="P937" s="707">
        <f t="shared" si="689"/>
        <v>6.9369439127759192E-3</v>
      </c>
      <c r="Q937" s="707">
        <f t="shared" si="689"/>
        <v>6.9265386735456813E-3</v>
      </c>
      <c r="R937" s="707">
        <f t="shared" si="689"/>
        <v>4.4280557623669579E-3</v>
      </c>
      <c r="S937" s="707">
        <f t="shared" si="689"/>
        <v>4.4276813326359216E-3</v>
      </c>
      <c r="T937" s="707">
        <f t="shared" si="689"/>
        <v>4.4047697673357247E-3</v>
      </c>
      <c r="U937" s="707">
        <f t="shared" si="689"/>
        <v>4.4033179144203497E-3</v>
      </c>
      <c r="V937" s="707">
        <f t="shared" si="689"/>
        <v>4.3878267195455413E-3</v>
      </c>
      <c r="W937" s="707">
        <f t="shared" si="689"/>
        <v>4.3881952372377504E-3</v>
      </c>
      <c r="X937" s="707">
        <f t="shared" si="689"/>
        <v>4.4412163904919717E-3</v>
      </c>
      <c r="Y937" s="707">
        <f t="shared" si="689"/>
        <v>4.4178490135957935E-3</v>
      </c>
      <c r="Z937" s="707">
        <f t="shared" si="689"/>
        <v>4.4068727257022301E-3</v>
      </c>
      <c r="AA937" s="707">
        <f t="shared" si="689"/>
        <v>0.49032380907506301</v>
      </c>
      <c r="AB937" s="707">
        <f t="shared" si="689"/>
        <v>0.4915990730818085</v>
      </c>
      <c r="AC937" s="707">
        <f t="shared" si="689"/>
        <v>0.4913861354997649</v>
      </c>
      <c r="AD937" s="707">
        <f t="shared" si="689"/>
        <v>0.49159644662714713</v>
      </c>
      <c r="AE937" s="707">
        <f t="shared" si="689"/>
        <v>0.49052250049925533</v>
      </c>
      <c r="AF937" s="707">
        <f t="shared" si="689"/>
        <v>0.49153351240594079</v>
      </c>
    </row>
    <row r="938" spans="1:32" x14ac:dyDescent="0.2">
      <c r="A938" s="6">
        <v>19.2</v>
      </c>
      <c r="C938" s="707">
        <f t="shared" si="688"/>
        <v>1.2888142650116547E-2</v>
      </c>
      <c r="D938" s="707">
        <f t="shared" si="688"/>
        <v>1.405708570941004E-2</v>
      </c>
      <c r="E938" s="707">
        <f t="shared" si="688"/>
        <v>1.4071059892251162E-2</v>
      </c>
      <c r="F938" s="707">
        <f t="shared" si="688"/>
        <v>1.2254712529854751E-2</v>
      </c>
      <c r="G938" s="707">
        <f t="shared" ref="G938:R938" si="690" xml:space="preserve"> G$84 + ((-(G$86 * ((G$83 / 200 * G$82) - $A938 * 0.1 * (G$83 / 200 * G$82)) / ((1 - G$86 ^ 2) * (G$83 / 200 * G$82) / 2 * (1 / 2 * G$85 / 200 * G$84))) - ((G$86 * ((G$83 / 200 * G$82) - $A938 * 0.1 * (G$83 / 200 * G$82)) / ((1 - G$86 ^ 2) * (G$83 / 200 * G$82) / 2 * (1 / 2 * G$85 / 200 * G$84))) ^ 2 - 4 * (-1 / (2 * (1 - G$86 ^ 2) * (1 / 2 * G$85 / 200 * G$84) ^ 2)) * (-(((G$83 / 200 * G$82) - $A938 * 0.1 * (G$83 / 200 * G$82)) ^ 2) / (2 * (1 - G$86 ^ 2) * ((G$83 / 200 * G$82) / 2) ^ 2) + 2)) ^ 0.5) / (2 * (-1 / (2 * (1 - G$86 ^ 2) * (1 / 2 * G$85 / 200 * G$84) ^ 2))))</f>
        <v>1.453953544661247E-2</v>
      </c>
      <c r="H938" s="707">
        <f t="shared" si="690"/>
        <v>1.4991495647108118E-2</v>
      </c>
      <c r="I938" s="707">
        <f t="shared" si="690"/>
        <v>1.3595451279989989E-2</v>
      </c>
      <c r="J938" s="707">
        <f t="shared" si="690"/>
        <v>1.4034374416803663E-2</v>
      </c>
      <c r="K938" s="707">
        <f t="shared" si="690"/>
        <v>6.9404403776742295E-3</v>
      </c>
      <c r="L938" s="707">
        <f t="shared" si="690"/>
        <v>6.939561093906174E-3</v>
      </c>
      <c r="M938" s="707">
        <f t="shared" si="690"/>
        <v>6.9391098985781838E-3</v>
      </c>
      <c r="N938" s="707">
        <f t="shared" si="690"/>
        <v>6.9389417320683761E-3</v>
      </c>
      <c r="O938" s="707">
        <f t="shared" si="690"/>
        <v>6.9356105605522054E-3</v>
      </c>
      <c r="P938" s="707">
        <f t="shared" si="690"/>
        <v>6.9372828119847584E-3</v>
      </c>
      <c r="Q938" s="707">
        <f t="shared" si="690"/>
        <v>6.9270637158155238E-3</v>
      </c>
      <c r="R938" s="707">
        <f t="shared" si="690"/>
        <v>4.4284414694468885E-3</v>
      </c>
      <c r="S938" s="707">
        <f t="shared" si="689"/>
        <v>4.428119852720281E-3</v>
      </c>
      <c r="T938" s="707">
        <f t="shared" si="689"/>
        <v>4.4052471350301877E-3</v>
      </c>
      <c r="U938" s="707">
        <f t="shared" si="689"/>
        <v>4.4041551445195585E-3</v>
      </c>
      <c r="V938" s="707">
        <f t="shared" si="689"/>
        <v>4.3889839273094002E-3</v>
      </c>
      <c r="W938" s="707">
        <f t="shared" si="689"/>
        <v>4.3899438219185865E-3</v>
      </c>
      <c r="X938" s="707">
        <f t="shared" si="689"/>
        <v>4.4415996892108092E-3</v>
      </c>
      <c r="Y938" s="707">
        <f t="shared" si="689"/>
        <v>4.4184750530497962E-3</v>
      </c>
      <c r="Z938" s="707">
        <f t="shared" si="689"/>
        <v>4.4076175928522395E-3</v>
      </c>
      <c r="AA938" s="707">
        <f t="shared" si="689"/>
        <v>0.49033436995816365</v>
      </c>
      <c r="AB938" s="707">
        <f t="shared" si="689"/>
        <v>0.49161181145881366</v>
      </c>
      <c r="AC938" s="707">
        <f t="shared" si="689"/>
        <v>0.49139591546953254</v>
      </c>
      <c r="AD938" s="707">
        <f t="shared" si="689"/>
        <v>0.49160642227416484</v>
      </c>
      <c r="AE938" s="707">
        <f t="shared" si="689"/>
        <v>0.49053385567512342</v>
      </c>
      <c r="AF938" s="707">
        <f t="shared" si="689"/>
        <v>0.4915433613410462</v>
      </c>
    </row>
    <row r="939" spans="1:32" x14ac:dyDescent="0.2">
      <c r="A939" s="6">
        <v>18.8</v>
      </c>
      <c r="C939" s="707">
        <f t="shared" si="688"/>
        <v>1.2890990838850617E-2</v>
      </c>
      <c r="D939" s="707">
        <f t="shared" si="688"/>
        <v>1.4092592602451734E-2</v>
      </c>
      <c r="E939" s="707">
        <f t="shared" si="688"/>
        <v>1.4097506835133281E-2</v>
      </c>
      <c r="F939" s="707">
        <f t="shared" si="688"/>
        <v>1.2305049283655055E-2</v>
      </c>
      <c r="G939" s="707">
        <f t="shared" si="689"/>
        <v>1.4575251075526336E-2</v>
      </c>
      <c r="H939" s="707">
        <f t="shared" si="689"/>
        <v>1.5029392324752809E-2</v>
      </c>
      <c r="I939" s="707">
        <f t="shared" si="689"/>
        <v>1.3613823597829141E-2</v>
      </c>
      <c r="J939" s="707">
        <f t="shared" si="689"/>
        <v>1.4056237266490265E-2</v>
      </c>
      <c r="K939" s="707">
        <f t="shared" si="689"/>
        <v>6.9406393712984835E-3</v>
      </c>
      <c r="L939" s="707">
        <f t="shared" si="689"/>
        <v>6.9397876151523633E-3</v>
      </c>
      <c r="M939" s="707">
        <f t="shared" si="689"/>
        <v>6.9393488875405841E-3</v>
      </c>
      <c r="N939" s="707">
        <f t="shared" si="689"/>
        <v>6.9391589567051716E-3</v>
      </c>
      <c r="O939" s="707">
        <f t="shared" si="689"/>
        <v>6.9358647090015562E-3</v>
      </c>
      <c r="P939" s="707">
        <f t="shared" si="689"/>
        <v>6.9375542068787904E-3</v>
      </c>
      <c r="Q939" s="707">
        <f t="shared" si="689"/>
        <v>6.9274853465325767E-3</v>
      </c>
      <c r="R939" s="707">
        <f t="shared" si="689"/>
        <v>4.4287593511202709E-3</v>
      </c>
      <c r="S939" s="707">
        <f t="shared" si="689"/>
        <v>4.4284791482337351E-3</v>
      </c>
      <c r="T939" s="707">
        <f t="shared" si="689"/>
        <v>4.405639296626151E-3</v>
      </c>
      <c r="U939" s="707">
        <f t="shared" si="689"/>
        <v>4.4048308863487646E-3</v>
      </c>
      <c r="V939" s="707">
        <f t="shared" si="689"/>
        <v>4.3899010574206272E-3</v>
      </c>
      <c r="W939" s="707">
        <f t="shared" si="689"/>
        <v>4.3913096585469838E-3</v>
      </c>
      <c r="X939" s="707">
        <f t="shared" si="689"/>
        <v>4.4419130039067868E-3</v>
      </c>
      <c r="Y939" s="707">
        <f t="shared" si="689"/>
        <v>4.4189900013384886E-3</v>
      </c>
      <c r="Z939" s="707">
        <f t="shared" si="689"/>
        <v>4.4082213459390304E-3</v>
      </c>
      <c r="AA939" s="707">
        <f t="shared" si="689"/>
        <v>0.4903435997394196</v>
      </c>
      <c r="AB939" s="707">
        <f t="shared" si="689"/>
        <v>0.49162290638563033</v>
      </c>
      <c r="AC939" s="707">
        <f t="shared" si="689"/>
        <v>0.49140448239651269</v>
      </c>
      <c r="AD939" s="707">
        <f t="shared" si="689"/>
        <v>0.49161516162682578</v>
      </c>
      <c r="AE939" s="707">
        <f t="shared" si="689"/>
        <v>0.49054377479050371</v>
      </c>
      <c r="AF939" s="707">
        <f t="shared" si="689"/>
        <v>0.49155203216941101</v>
      </c>
    </row>
    <row r="940" spans="1:32" x14ac:dyDescent="0.2">
      <c r="A940" s="6">
        <v>17</v>
      </c>
      <c r="C940" s="707">
        <f t="shared" si="688"/>
        <v>1.2899604343746165E-2</v>
      </c>
      <c r="D940" s="707">
        <f t="shared" si="688"/>
        <v>1.4197841896170559E-2</v>
      </c>
      <c r="E940" s="707">
        <f t="shared" si="688"/>
        <v>1.4176015984906115E-2</v>
      </c>
      <c r="F940" s="707">
        <f t="shared" si="688"/>
        <v>1.2453081729600503E-2</v>
      </c>
      <c r="G940" s="707">
        <f t="shared" si="689"/>
        <v>1.4681237626038804E-2</v>
      </c>
      <c r="H940" s="707">
        <f t="shared" si="689"/>
        <v>1.5141222874900056E-2</v>
      </c>
      <c r="I940" s="707">
        <f t="shared" si="689"/>
        <v>1.3668706057719157E-2</v>
      </c>
      <c r="J940" s="707">
        <f t="shared" si="689"/>
        <v>1.4121023105931533E-2</v>
      </c>
      <c r="K940" s="707">
        <f t="shared" si="689"/>
        <v>6.9413379680899985E-3</v>
      </c>
      <c r="L940" s="707">
        <f t="shared" si="689"/>
        <v>6.9405515822872563E-3</v>
      </c>
      <c r="M940" s="707">
        <f t="shared" si="689"/>
        <v>6.940153024668193E-3</v>
      </c>
      <c r="N940" s="707">
        <f t="shared" si="689"/>
        <v>6.9399002390227579E-3</v>
      </c>
      <c r="O940" s="707">
        <f t="shared" si="689"/>
        <v>6.9367272060822669E-3</v>
      </c>
      <c r="P940" s="707">
        <f t="shared" si="689"/>
        <v>6.9384607312248424E-3</v>
      </c>
      <c r="Q940" s="707">
        <f t="shared" si="689"/>
        <v>6.9289005072396027E-3</v>
      </c>
      <c r="R940" s="707">
        <f t="shared" si="689"/>
        <v>4.4298735688174671E-3</v>
      </c>
      <c r="S940" s="707">
        <f t="shared" si="689"/>
        <v>4.4297265772755166E-3</v>
      </c>
      <c r="T940" s="707">
        <f t="shared" si="689"/>
        <v>4.4070067329431886E-3</v>
      </c>
      <c r="U940" s="707">
        <f t="shared" si="689"/>
        <v>4.4071187524857679E-3</v>
      </c>
      <c r="V940" s="707">
        <f t="shared" si="689"/>
        <v>4.3929087317532483E-3</v>
      </c>
      <c r="W940" s="707">
        <f t="shared" si="689"/>
        <v>4.3956712822817859E-3</v>
      </c>
      <c r="X940" s="707">
        <f t="shared" si="689"/>
        <v>4.4429966052155212E-3</v>
      </c>
      <c r="Y940" s="707">
        <f t="shared" si="689"/>
        <v>4.4207892833535104E-3</v>
      </c>
      <c r="Z940" s="707">
        <f t="shared" si="689"/>
        <v>4.4102802616422347E-3</v>
      </c>
      <c r="AA940" s="707">
        <f t="shared" si="689"/>
        <v>0.49037892722041787</v>
      </c>
      <c r="AB940" s="707">
        <f t="shared" si="689"/>
        <v>0.49166517063360221</v>
      </c>
      <c r="AC940" s="707">
        <f t="shared" si="689"/>
        <v>0.49143737750777522</v>
      </c>
      <c r="AD940" s="707">
        <f t="shared" si="689"/>
        <v>0.49164872423845346</v>
      </c>
      <c r="AE940" s="707">
        <f t="shared" si="689"/>
        <v>0.49058171488391666</v>
      </c>
      <c r="AF940" s="707">
        <f t="shared" si="689"/>
        <v>0.4915855577333702</v>
      </c>
    </row>
    <row r="941" spans="1:32" x14ac:dyDescent="0.2">
      <c r="A941" s="6">
        <v>15</v>
      </c>
      <c r="C941" s="707">
        <f t="shared" si="688"/>
        <v>1.2905618674311566E-2</v>
      </c>
      <c r="D941" s="707">
        <f t="shared" si="688"/>
        <v>1.4268649108091107E-2</v>
      </c>
      <c r="E941" s="707">
        <f t="shared" si="688"/>
        <v>1.422898166534119E-2</v>
      </c>
      <c r="F941" s="707">
        <f t="shared" si="688"/>
        <v>1.2551161898533296E-2</v>
      </c>
      <c r="G941" s="707">
        <f t="shared" si="689"/>
        <v>1.4752693064291592E-2</v>
      </c>
      <c r="H941" s="707">
        <f t="shared" si="689"/>
        <v>1.5215812227319712E-2</v>
      </c>
      <c r="I941" s="707">
        <f t="shared" si="689"/>
        <v>1.3706172386326231E-2</v>
      </c>
      <c r="J941" s="707">
        <f t="shared" si="689"/>
        <v>1.4164582716326353E-2</v>
      </c>
      <c r="K941" s="707">
        <f t="shared" si="689"/>
        <v>6.9419476214881296E-3</v>
      </c>
      <c r="L941" s="707">
        <f t="shared" si="689"/>
        <v>6.9411843722555905E-3</v>
      </c>
      <c r="M941" s="707">
        <f t="shared" si="689"/>
        <v>6.9408169664177746E-3</v>
      </c>
      <c r="N941" s="707">
        <f t="shared" si="689"/>
        <v>6.9405240253910538E-3</v>
      </c>
      <c r="O941" s="707">
        <f t="shared" si="689"/>
        <v>6.9374476521061566E-3</v>
      </c>
      <c r="P941" s="707">
        <f t="shared" si="689"/>
        <v>6.9392016846776894E-3</v>
      </c>
      <c r="Q941" s="707">
        <f t="shared" si="689"/>
        <v>6.9300649627792718E-3</v>
      </c>
      <c r="R941" s="707">
        <f t="shared" si="689"/>
        <v>4.4308440259949412E-3</v>
      </c>
      <c r="S941" s="707">
        <f t="shared" si="689"/>
        <v>4.4308000788240579E-3</v>
      </c>
      <c r="T941" s="707">
        <f t="shared" si="689"/>
        <v>4.4081899795533515E-3</v>
      </c>
      <c r="U941" s="707">
        <f t="shared" si="689"/>
        <v>4.409023775562149E-3</v>
      </c>
      <c r="V941" s="707">
        <f t="shared" si="689"/>
        <v>4.395303516729422E-3</v>
      </c>
      <c r="W941" s="707">
        <f t="shared" si="689"/>
        <v>4.3990076391457076E-3</v>
      </c>
      <c r="X941" s="707">
        <f t="shared" si="689"/>
        <v>4.4439245287204911E-3</v>
      </c>
      <c r="Y941" s="707">
        <f t="shared" si="689"/>
        <v>4.4223502452650264E-3</v>
      </c>
      <c r="Z941" s="707">
        <f t="shared" si="689"/>
        <v>4.4120112689672395E-3</v>
      </c>
      <c r="AA941" s="707">
        <f t="shared" si="689"/>
        <v>0.49041292895188543</v>
      </c>
      <c r="AB941" s="707">
        <f t="shared" si="689"/>
        <v>0.4917056477099751</v>
      </c>
      <c r="AC941" s="707">
        <f t="shared" si="689"/>
        <v>0.49146914233396582</v>
      </c>
      <c r="AD941" s="707">
        <f t="shared" si="689"/>
        <v>0.49168113900727278</v>
      </c>
      <c r="AE941" s="707">
        <f t="shared" si="689"/>
        <v>0.49061820546974949</v>
      </c>
      <c r="AF941" s="707">
        <f t="shared" si="689"/>
        <v>0.49161816088075888</v>
      </c>
    </row>
    <row r="942" spans="1:32" x14ac:dyDescent="0.2">
      <c r="A942" s="6">
        <v>14</v>
      </c>
      <c r="C942" s="707">
        <f t="shared" si="688"/>
        <v>1.2907830908934196E-2</v>
      </c>
      <c r="D942" s="707">
        <f t="shared" si="688"/>
        <v>1.4293739749916415E-2</v>
      </c>
      <c r="E942" s="707">
        <f t="shared" si="688"/>
        <v>1.4247804805911087E-2</v>
      </c>
      <c r="F942" s="707">
        <f t="shared" si="688"/>
        <v>1.2585359397158595E-2</v>
      </c>
      <c r="G942" s="707">
        <f t="shared" si="689"/>
        <v>1.4778069606991634E-2</v>
      </c>
      <c r="H942" s="707">
        <f t="shared" si="689"/>
        <v>1.5242004790113676E-2</v>
      </c>
      <c r="I942" s="707">
        <f t="shared" si="689"/>
        <v>1.3719649382647539E-2</v>
      </c>
      <c r="J942" s="707">
        <f t="shared" si="689"/>
        <v>1.4180008706514898E-2</v>
      </c>
      <c r="K942" s="707">
        <f t="shared" si="689"/>
        <v>6.9422152155516875E-3</v>
      </c>
      <c r="L942" s="707">
        <f t="shared" si="689"/>
        <v>6.9414524704174228E-3</v>
      </c>
      <c r="M942" s="707">
        <f t="shared" si="689"/>
        <v>6.9410976269161659E-3</v>
      </c>
      <c r="N942" s="707">
        <f t="shared" si="689"/>
        <v>6.9407912433600951E-3</v>
      </c>
      <c r="O942" s="707">
        <f t="shared" si="689"/>
        <v>6.9377547004599409E-3</v>
      </c>
      <c r="P942" s="707">
        <f t="shared" si="689"/>
        <v>6.9395126358147031E-3</v>
      </c>
      <c r="Q942" s="707">
        <f t="shared" si="689"/>
        <v>6.9305560018058507E-3</v>
      </c>
      <c r="R942" s="707">
        <f t="shared" si="689"/>
        <v>4.4312694458542188E-3</v>
      </c>
      <c r="S942" s="707">
        <f t="shared" si="689"/>
        <v>4.4312669690376762E-3</v>
      </c>
      <c r="T942" s="707">
        <f t="shared" si="689"/>
        <v>4.4087064677615292E-3</v>
      </c>
      <c r="U942" s="707">
        <f t="shared" si="689"/>
        <v>4.4098338860629827E-3</v>
      </c>
      <c r="V942" s="707">
        <f t="shared" si="689"/>
        <v>4.3962892077312006E-3</v>
      </c>
      <c r="W942" s="707">
        <f t="shared" si="689"/>
        <v>4.4003383087312812E-3</v>
      </c>
      <c r="X942" s="707">
        <f t="shared" si="689"/>
        <v>4.4443267782665503E-3</v>
      </c>
      <c r="Y942" s="707">
        <f t="shared" si="689"/>
        <v>4.4230327655628305E-3</v>
      </c>
      <c r="Z942" s="707">
        <f t="shared" si="689"/>
        <v>4.4127523376538292E-3</v>
      </c>
      <c r="AA942" s="707">
        <f t="shared" si="689"/>
        <v>0.49042875604640035</v>
      </c>
      <c r="AB942" s="707">
        <f t="shared" si="689"/>
        <v>0.4917244370468562</v>
      </c>
      <c r="AC942" s="707">
        <f t="shared" si="689"/>
        <v>0.49148395508081666</v>
      </c>
      <c r="AD942" s="707">
        <f t="shared" si="689"/>
        <v>0.49169625622210617</v>
      </c>
      <c r="AE942" s="707">
        <f t="shared" si="689"/>
        <v>0.49063518443847304</v>
      </c>
      <c r="AF942" s="707">
        <f t="shared" si="689"/>
        <v>0.4916334235949622</v>
      </c>
    </row>
    <row r="943" spans="1:32" x14ac:dyDescent="0.2">
      <c r="A943" s="6">
        <v>13</v>
      </c>
      <c r="C943" s="707">
        <f t="shared" si="688"/>
        <v>1.2909635062091335E-2</v>
      </c>
      <c r="D943" s="707">
        <f t="shared" si="688"/>
        <v>1.4313536182159498E-2</v>
      </c>
      <c r="E943" s="707">
        <f t="shared" si="688"/>
        <v>1.4262695802943899E-2</v>
      </c>
      <c r="F943" s="707">
        <f t="shared" si="688"/>
        <v>1.2611937383182418E-2</v>
      </c>
      <c r="G943" s="707">
        <f t="shared" si="689"/>
        <v>1.4798132323646469E-2</v>
      </c>
      <c r="H943" s="707">
        <f t="shared" si="689"/>
        <v>1.5262498029758639E-2</v>
      </c>
      <c r="I943" s="707">
        <f t="shared" si="689"/>
        <v>1.3730428099935474E-2</v>
      </c>
      <c r="J943" s="707">
        <f t="shared" si="689"/>
        <v>1.419217293530649E-2</v>
      </c>
      <c r="K943" s="707">
        <f t="shared" si="689"/>
        <v>6.9424636960633028E-3</v>
      </c>
      <c r="L943" s="707">
        <f t="shared" si="689"/>
        <v>6.9416957751739592E-3</v>
      </c>
      <c r="M943" s="707">
        <f t="shared" si="689"/>
        <v>6.9413519469868346E-3</v>
      </c>
      <c r="N943" s="707">
        <f t="shared" si="689"/>
        <v>6.9410355270932743E-3</v>
      </c>
      <c r="O943" s="707">
        <f t="shared" si="689"/>
        <v>6.9380344513480224E-3</v>
      </c>
      <c r="P943" s="707">
        <f t="shared" si="689"/>
        <v>6.9397930292050105E-3</v>
      </c>
      <c r="Q943" s="707">
        <f t="shared" si="689"/>
        <v>6.9310002286538924E-3</v>
      </c>
      <c r="R943" s="707">
        <f t="shared" si="689"/>
        <v>4.4316641626154854E-3</v>
      </c>
      <c r="S943" s="707">
        <f t="shared" si="689"/>
        <v>4.4316979959975501E-3</v>
      </c>
      <c r="T943" s="707">
        <f t="shared" si="689"/>
        <v>4.4091843850074912E-3</v>
      </c>
      <c r="U943" s="707">
        <f t="shared" si="689"/>
        <v>4.4105708943085742E-3</v>
      </c>
      <c r="V943" s="707">
        <f t="shared" si="689"/>
        <v>4.3971662207600197E-3</v>
      </c>
      <c r="W943" s="707">
        <f t="shared" si="689"/>
        <v>4.4014957165324385E-3</v>
      </c>
      <c r="X943" s="707">
        <f t="shared" si="689"/>
        <v>4.4446973475555747E-3</v>
      </c>
      <c r="Y943" s="707">
        <f t="shared" si="689"/>
        <v>4.4236649972872197E-3</v>
      </c>
      <c r="Z943" s="707">
        <f t="shared" si="689"/>
        <v>4.4134295270489539E-3</v>
      </c>
      <c r="AA943" s="707">
        <f t="shared" si="689"/>
        <v>0.49044398057983263</v>
      </c>
      <c r="AB943" s="707">
        <f t="shared" si="689"/>
        <v>0.4917424824292993</v>
      </c>
      <c r="AC943" s="707">
        <f t="shared" si="689"/>
        <v>0.49149821870937255</v>
      </c>
      <c r="AD943" s="707">
        <f t="shared" si="689"/>
        <v>0.49171081379316095</v>
      </c>
      <c r="AE943" s="707">
        <f t="shared" si="689"/>
        <v>0.49065151333360096</v>
      </c>
      <c r="AF943" s="707">
        <f t="shared" si="689"/>
        <v>0.49164815300566517</v>
      </c>
    </row>
    <row r="944" spans="1:32" x14ac:dyDescent="0.2">
      <c r="A944" s="6">
        <v>12</v>
      </c>
      <c r="C944" s="707">
        <f t="shared" si="688"/>
        <v>1.2911077930525832E-2</v>
      </c>
      <c r="D944" s="707">
        <f t="shared" si="688"/>
        <v>1.4328645518314465E-2</v>
      </c>
      <c r="E944" s="707">
        <f t="shared" si="688"/>
        <v>1.427410557500737E-2</v>
      </c>
      <c r="F944" s="707">
        <f t="shared" si="688"/>
        <v>1.2631769624227122E-2</v>
      </c>
      <c r="G944" s="707">
        <f t="shared" si="689"/>
        <v>1.4813490577268136E-2</v>
      </c>
      <c r="H944" s="707">
        <f t="shared" si="689"/>
        <v>1.5277945516147771E-2</v>
      </c>
      <c r="I944" s="707">
        <f t="shared" si="689"/>
        <v>1.3738817963343423E-2</v>
      </c>
      <c r="J944" s="707">
        <f t="shared" si="689"/>
        <v>1.4201449445195651E-2</v>
      </c>
      <c r="K944" s="707">
        <f t="shared" si="689"/>
        <v>6.9426952548695816E-3</v>
      </c>
      <c r="L944" s="707">
        <f t="shared" si="689"/>
        <v>6.9419171297089993E-3</v>
      </c>
      <c r="M944" s="707">
        <f t="shared" si="689"/>
        <v>6.9415829472183818E-3</v>
      </c>
      <c r="N944" s="707">
        <f t="shared" si="689"/>
        <v>6.9412595065741333E-3</v>
      </c>
      <c r="O944" s="707">
        <f t="shared" si="689"/>
        <v>6.9382900351073343E-3</v>
      </c>
      <c r="P944" s="707">
        <f t="shared" si="689"/>
        <v>6.9400463690582736E-3</v>
      </c>
      <c r="Q944" s="707">
        <f t="shared" si="689"/>
        <v>6.9314030115100612E-3</v>
      </c>
      <c r="R944" s="707">
        <f t="shared" si="689"/>
        <v>4.4320316971565663E-3</v>
      </c>
      <c r="S944" s="707">
        <f t="shared" si="689"/>
        <v>4.4320972723223724E-3</v>
      </c>
      <c r="T944" s="707">
        <f t="shared" si="689"/>
        <v>4.4096281544164038E-3</v>
      </c>
      <c r="U944" s="707">
        <f t="shared" si="689"/>
        <v>4.4112431833001854E-3</v>
      </c>
      <c r="V944" s="707">
        <f t="shared" si="689"/>
        <v>4.3979470184626395E-3</v>
      </c>
      <c r="W944" s="707">
        <f t="shared" si="689"/>
        <v>4.4024997313446453E-3</v>
      </c>
      <c r="X944" s="707">
        <f t="shared" si="689"/>
        <v>4.4450398695210988E-3</v>
      </c>
      <c r="Y944" s="707">
        <f t="shared" si="689"/>
        <v>4.4242527072804487E-3</v>
      </c>
      <c r="Z944" s="707">
        <f t="shared" si="689"/>
        <v>4.4140501625104869E-3</v>
      </c>
      <c r="AA944" s="707">
        <f t="shared" si="689"/>
        <v>0.49045867165087564</v>
      </c>
      <c r="AB944" s="707">
        <f t="shared" si="689"/>
        <v>0.49175986917028097</v>
      </c>
      <c r="AC944" s="707">
        <f t="shared" si="689"/>
        <v>0.49151199618977509</v>
      </c>
      <c r="AD944" s="707">
        <f t="shared" si="689"/>
        <v>0.49172487589758851</v>
      </c>
      <c r="AE944" s="707">
        <f t="shared" si="689"/>
        <v>0.49066726670232419</v>
      </c>
      <c r="AF944" s="707">
        <f t="shared" si="689"/>
        <v>0.49166241026944779</v>
      </c>
    </row>
    <row r="945" spans="1:32" x14ac:dyDescent="0.2">
      <c r="A945" s="6">
        <v>11</v>
      </c>
      <c r="C945" s="707">
        <f t="shared" si="688"/>
        <v>1.2912187693084961E-2</v>
      </c>
      <c r="D945" s="707">
        <f t="shared" si="688"/>
        <v>1.4339433334218221E-2</v>
      </c>
      <c r="E945" s="707">
        <f t="shared" si="688"/>
        <v>1.4282305644534083E-2</v>
      </c>
      <c r="F945" s="707">
        <f t="shared" si="688"/>
        <v>1.2645382262987436E-2</v>
      </c>
      <c r="G945" s="707">
        <f t="shared" si="689"/>
        <v>1.4824511298249824E-2</v>
      </c>
      <c r="H945" s="707">
        <f t="shared" si="689"/>
        <v>1.5288740799025861E-2</v>
      </c>
      <c r="I945" s="707">
        <f t="shared" si="689"/>
        <v>1.3745005294474354E-2</v>
      </c>
      <c r="J945" s="707">
        <f t="shared" si="689"/>
        <v>1.4208063467377696E-2</v>
      </c>
      <c r="K945" s="707">
        <f t="shared" si="689"/>
        <v>6.9429112117997899E-3</v>
      </c>
      <c r="L945" s="707">
        <f t="shared" si="689"/>
        <v>6.9421182460571275E-3</v>
      </c>
      <c r="M945" s="707">
        <f t="shared" si="689"/>
        <v>6.9417924464704036E-3</v>
      </c>
      <c r="N945" s="707">
        <f t="shared" si="689"/>
        <v>6.9414647654578599E-3</v>
      </c>
      <c r="O945" s="707">
        <f t="shared" si="689"/>
        <v>6.9385233366828728E-3</v>
      </c>
      <c r="P945" s="707">
        <f t="shared" si="689"/>
        <v>6.9402747654484613E-3</v>
      </c>
      <c r="Q945" s="707">
        <f t="shared" si="689"/>
        <v>6.931767582849589E-3</v>
      </c>
      <c r="R945" s="707">
        <f t="shared" si="689"/>
        <v>4.43237416958823E-3</v>
      </c>
      <c r="S945" s="707">
        <f t="shared" si="689"/>
        <v>4.4324672744420618E-3</v>
      </c>
      <c r="T945" s="707">
        <f t="shared" si="689"/>
        <v>4.4100404393909096E-3</v>
      </c>
      <c r="U945" s="707">
        <f t="shared" si="689"/>
        <v>4.4118558008958055E-3</v>
      </c>
      <c r="V945" s="707">
        <f t="shared" si="689"/>
        <v>4.3986391052720265E-3</v>
      </c>
      <c r="W945" s="707">
        <f t="shared" si="689"/>
        <v>4.403362317243152E-3</v>
      </c>
      <c r="X945" s="707">
        <f t="shared" si="689"/>
        <v>4.445356531748693E-3</v>
      </c>
      <c r="Y945" s="707">
        <f t="shared" si="689"/>
        <v>4.4247993680698178E-3</v>
      </c>
      <c r="Z945" s="707">
        <f t="shared" si="689"/>
        <v>4.4146186550321894E-3</v>
      </c>
      <c r="AA945" s="707">
        <f t="shared" si="689"/>
        <v>0.4904728708675859</v>
      </c>
      <c r="AB945" s="707">
        <f t="shared" si="689"/>
        <v>0.4917766486413539</v>
      </c>
      <c r="AC945" s="707">
        <f t="shared" si="689"/>
        <v>0.49152532543974875</v>
      </c>
      <c r="AD945" s="707">
        <f t="shared" si="689"/>
        <v>0.4917384811799192</v>
      </c>
      <c r="AE945" s="707">
        <f t="shared" si="689"/>
        <v>0.49068248943353399</v>
      </c>
      <c r="AF945" s="707">
        <f t="shared" si="689"/>
        <v>0.49167623221199103</v>
      </c>
    </row>
    <row r="946" spans="1:32" x14ac:dyDescent="0.2">
      <c r="A946" s="6">
        <v>9</v>
      </c>
      <c r="C946" s="707">
        <f t="shared" si="688"/>
        <v>1.2913458260425467E-2</v>
      </c>
      <c r="D946" s="707">
        <f t="shared" si="688"/>
        <v>1.434869774440708E-2</v>
      </c>
      <c r="E946" s="707">
        <f t="shared" si="688"/>
        <v>1.4289561927499165E-2</v>
      </c>
      <c r="F946" s="707">
        <f t="shared" si="688"/>
        <v>1.2654889029971984E-2</v>
      </c>
      <c r="G946" s="707">
        <f t="shared" si="689"/>
        <v>1.4834195902224548E-2</v>
      </c>
      <c r="H946" s="707">
        <f t="shared" si="689"/>
        <v>1.5297078086974678E-2</v>
      </c>
      <c r="I946" s="707">
        <f t="shared" si="689"/>
        <v>1.3751105344699635E-2</v>
      </c>
      <c r="J946" s="707">
        <f t="shared" si="689"/>
        <v>1.4213706570722469E-2</v>
      </c>
      <c r="K946" s="707">
        <f t="shared" si="689"/>
        <v>6.9432986787658722E-3</v>
      </c>
      <c r="L946" s="707">
        <f t="shared" si="689"/>
        <v>6.9424628238565506E-3</v>
      </c>
      <c r="M946" s="707">
        <f t="shared" si="689"/>
        <v>6.9421501926121851E-3</v>
      </c>
      <c r="N946" s="707">
        <f t="shared" si="689"/>
        <v>6.9418219516644893E-3</v>
      </c>
      <c r="O946" s="707">
        <f t="shared" si="689"/>
        <v>6.938926461963521E-3</v>
      </c>
      <c r="P946" s="707">
        <f t="shared" si="689"/>
        <v>6.9406604988599095E-3</v>
      </c>
      <c r="Q946" s="707">
        <f t="shared" si="689"/>
        <v>6.9323878678992906E-3</v>
      </c>
      <c r="R946" s="707">
        <f t="shared" si="689"/>
        <v>4.432987717080881E-3</v>
      </c>
      <c r="S946" s="707">
        <f t="shared" si="689"/>
        <v>4.4331238818196509E-3</v>
      </c>
      <c r="T946" s="707">
        <f t="shared" si="689"/>
        <v>4.4107753159387609E-3</v>
      </c>
      <c r="U946" s="707">
        <f t="shared" si="689"/>
        <v>4.4129110431823208E-3</v>
      </c>
      <c r="V946" s="707">
        <f t="shared" si="689"/>
        <v>4.3997705577641846E-3</v>
      </c>
      <c r="W946" s="707">
        <f t="shared" si="689"/>
        <v>4.4046845839052547E-3</v>
      </c>
      <c r="X946" s="707">
        <f t="shared" si="689"/>
        <v>4.445916186535304E-3</v>
      </c>
      <c r="Y946" s="707">
        <f t="shared" si="689"/>
        <v>4.4257757479667856E-3</v>
      </c>
      <c r="Z946" s="707">
        <f t="shared" si="689"/>
        <v>4.4156070943669572E-3</v>
      </c>
      <c r="AA946" s="707">
        <f t="shared" si="689"/>
        <v>0.49049986809787849</v>
      </c>
      <c r="AB946" s="707">
        <f t="shared" si="689"/>
        <v>0.49180847758248292</v>
      </c>
      <c r="AC946" s="707">
        <f t="shared" si="689"/>
        <v>0.49155070701309939</v>
      </c>
      <c r="AD946" s="707">
        <f t="shared" si="689"/>
        <v>0.49176439034189162</v>
      </c>
      <c r="AE946" s="707">
        <f t="shared" si="689"/>
        <v>0.4907114232066298</v>
      </c>
      <c r="AF946" s="707">
        <f t="shared" si="689"/>
        <v>0.49170263594640334</v>
      </c>
    </row>
    <row r="947" spans="1:32" x14ac:dyDescent="0.2">
      <c r="A947" s="6">
        <v>8</v>
      </c>
      <c r="C947" s="707">
        <f t="shared" si="688"/>
        <v>1.2913619065206843E-2</v>
      </c>
      <c r="D947" s="707">
        <f t="shared" si="688"/>
        <v>1.4347174338692183E-2</v>
      </c>
      <c r="E947" s="707">
        <f t="shared" si="688"/>
        <v>1.4288618140937535E-2</v>
      </c>
      <c r="F947" s="707">
        <f t="shared" si="688"/>
        <v>1.2650783158196219E-2</v>
      </c>
      <c r="G947" s="707">
        <f t="shared" si="689"/>
        <v>1.4832859785217584E-2</v>
      </c>
      <c r="H947" s="707">
        <f t="shared" si="689"/>
        <v>1.5294620092045404E-2</v>
      </c>
      <c r="I947" s="707">
        <f t="shared" si="689"/>
        <v>1.3751018063793986E-2</v>
      </c>
      <c r="J947" s="707">
        <f t="shared" si="689"/>
        <v>1.4212735651885198E-2</v>
      </c>
      <c r="K947" s="707">
        <f t="shared" si="689"/>
        <v>6.9434701888017461E-3</v>
      </c>
      <c r="L947" s="707">
        <f t="shared" si="689"/>
        <v>6.9426062853078447E-3</v>
      </c>
      <c r="M947" s="707">
        <f t="shared" si="689"/>
        <v>6.9422984395019448E-3</v>
      </c>
      <c r="N947" s="707">
        <f t="shared" ref="G947:AF955" si="691" xml:space="preserve"> N$84 + ((-(N$86 * ((N$83 / 200 * N$82) - $A947 * 0.1 * (N$83 / 200 * N$82)) / ((1 - N$86 ^ 2) * (N$83 / 200 * N$82) / 2 * (1 / 2 * N$85 / 200 * N$84))) - ((N$86 * ((N$83 / 200 * N$82) - $A947 * 0.1 * (N$83 / 200 * N$82)) / ((1 - N$86 ^ 2) * (N$83 / 200 * N$82) / 2 * (1 / 2 * N$85 / 200 * N$84))) ^ 2 - 4 * (-1 / (2 * (1 - N$86 ^ 2) * (1 / 2 * N$85 / 200 * N$84) ^ 2)) * (-(((N$83 / 200 * N$82) - $A947 * 0.1 * (N$83 / 200 * N$82)) ^ 2) / (2 * (1 - N$86 ^ 2) * ((N$83 / 200 * N$82) / 2) ^ 2) + 2)) ^ 0.5) / (2 * (-1 / (2 * (1 - N$86 ^ 2) * (1 / 2 * N$85 / 200 * N$84) ^ 2))))</f>
        <v>6.9419738789873921E-3</v>
      </c>
      <c r="O947" s="707">
        <f t="shared" si="691"/>
        <v>6.9390962856686299E-3</v>
      </c>
      <c r="P947" s="707">
        <f t="shared" si="691"/>
        <v>6.9408178358811709E-3</v>
      </c>
      <c r="Q947" s="707">
        <f t="shared" si="691"/>
        <v>6.9326435816094642E-3</v>
      </c>
      <c r="R947" s="707">
        <f t="shared" si="691"/>
        <v>4.4332587921418684E-3</v>
      </c>
      <c r="S947" s="707">
        <f t="shared" si="691"/>
        <v>4.4334104870775515E-3</v>
      </c>
      <c r="T947" s="707">
        <f t="shared" si="691"/>
        <v>4.4110979075121064E-3</v>
      </c>
      <c r="U947" s="707">
        <f t="shared" si="691"/>
        <v>4.413353667873216E-3</v>
      </c>
      <c r="V947" s="707">
        <f t="shared" si="691"/>
        <v>4.4002099234469547E-3</v>
      </c>
      <c r="W947" s="707">
        <f t="shared" si="691"/>
        <v>4.4051442646688499E-3</v>
      </c>
      <c r="X947" s="707">
        <f t="shared" si="691"/>
        <v>4.4461591790943208E-3</v>
      </c>
      <c r="Y947" s="707">
        <f t="shared" si="691"/>
        <v>4.4262054670743834E-3</v>
      </c>
      <c r="Z947" s="707">
        <f t="shared" si="691"/>
        <v>4.4160270411800224E-3</v>
      </c>
      <c r="AA947" s="707">
        <f t="shared" si="691"/>
        <v>0.49051266611146072</v>
      </c>
      <c r="AB947" s="707">
        <f t="shared" si="691"/>
        <v>0.49182352705253901</v>
      </c>
      <c r="AC947" s="707">
        <f t="shared" si="691"/>
        <v>0.49156275933647642</v>
      </c>
      <c r="AD947" s="707">
        <f t="shared" si="691"/>
        <v>0.49177669422153336</v>
      </c>
      <c r="AE947" s="707">
        <f t="shared" si="691"/>
        <v>0.49072513424851583</v>
      </c>
      <c r="AF947" s="707">
        <f t="shared" si="691"/>
        <v>0.49171521773827248</v>
      </c>
    </row>
    <row r="948" spans="1:32" x14ac:dyDescent="0.2">
      <c r="A948" s="6">
        <v>6</v>
      </c>
      <c r="C948" s="707">
        <f t="shared" si="688"/>
        <v>1.291291317829622E-2</v>
      </c>
      <c r="D948" s="707">
        <f t="shared" si="688"/>
        <v>1.433079739067185E-2</v>
      </c>
      <c r="E948" s="707">
        <f t="shared" si="688"/>
        <v>1.4276829937771417E-2</v>
      </c>
      <c r="F948" s="707">
        <f t="shared" si="688"/>
        <v>1.2623386465096788E-2</v>
      </c>
      <c r="G948" s="707">
        <f t="shared" si="691"/>
        <v>1.4816808022890531E-2</v>
      </c>
      <c r="H948" s="707">
        <f t="shared" si="691"/>
        <v>1.527535394190894E-2</v>
      </c>
      <c r="I948" s="707">
        <f t="shared" si="691"/>
        <v>1.3744049583548665E-2</v>
      </c>
      <c r="J948" s="707">
        <f t="shared" si="691"/>
        <v>1.4202581119893993E-2</v>
      </c>
      <c r="K948" s="707">
        <f t="shared" si="691"/>
        <v>6.9437650834160173E-3</v>
      </c>
      <c r="L948" s="707">
        <f t="shared" si="691"/>
        <v>6.9428307816151134E-3</v>
      </c>
      <c r="M948" s="707">
        <f t="shared" si="691"/>
        <v>6.9425286114832918E-3</v>
      </c>
      <c r="N948" s="707">
        <f t="shared" si="691"/>
        <v>6.9422199881866119E-3</v>
      </c>
      <c r="O948" s="707">
        <f t="shared" si="691"/>
        <v>6.939367201582532E-3</v>
      </c>
      <c r="P948" s="707">
        <f t="shared" si="691"/>
        <v>6.9410555694604976E-3</v>
      </c>
      <c r="Q948" s="707">
        <f t="shared" si="691"/>
        <v>6.9330371420046567E-3</v>
      </c>
      <c r="R948" s="707">
        <f t="shared" si="691"/>
        <v>4.433723635824823E-3</v>
      </c>
      <c r="S948" s="707">
        <f t="shared" si="691"/>
        <v>4.4338933985480344E-3</v>
      </c>
      <c r="T948" s="707">
        <f t="shared" si="691"/>
        <v>4.4116459739529336E-3</v>
      </c>
      <c r="U948" s="707">
        <f t="shared" si="691"/>
        <v>4.4140548552090448E-3</v>
      </c>
      <c r="V948" s="707">
        <f t="shared" si="691"/>
        <v>4.4008150176998301E-3</v>
      </c>
      <c r="W948" s="707">
        <f t="shared" si="691"/>
        <v>4.4056273753796905E-3</v>
      </c>
      <c r="X948" s="707">
        <f t="shared" si="691"/>
        <v>4.4465653974129936E-3</v>
      </c>
      <c r="Y948" s="707">
        <f t="shared" si="691"/>
        <v>4.4269382851507008E-3</v>
      </c>
      <c r="Z948" s="707">
        <f t="shared" si="691"/>
        <v>4.4167060949929001E-3</v>
      </c>
      <c r="AA948" s="707">
        <f t="shared" si="691"/>
        <v>0.49053674496757055</v>
      </c>
      <c r="AB948" s="707">
        <f t="shared" si="691"/>
        <v>0.49185175281137233</v>
      </c>
      <c r="AC948" s="707">
        <f t="shared" si="691"/>
        <v>0.49158548137421931</v>
      </c>
      <c r="AD948" s="707">
        <f t="shared" si="691"/>
        <v>0.49179989286999592</v>
      </c>
      <c r="AE948" s="707">
        <f t="shared" si="691"/>
        <v>0.49075091953085631</v>
      </c>
      <c r="AF948" s="707">
        <f t="shared" si="691"/>
        <v>0.49173903853261158</v>
      </c>
    </row>
    <row r="949" spans="1:32" x14ac:dyDescent="0.2">
      <c r="A949" s="6">
        <v>5</v>
      </c>
      <c r="C949" s="707">
        <f t="shared" si="688"/>
        <v>1.2911971511014095E-2</v>
      </c>
      <c r="D949" s="707">
        <f t="shared" si="688"/>
        <v>1.43149711590354E-2</v>
      </c>
      <c r="E949" s="707">
        <f t="shared" si="688"/>
        <v>1.4265263080166601E-2</v>
      </c>
      <c r="F949" s="707">
        <f t="shared" si="688"/>
        <v>1.2598695733456037E-2</v>
      </c>
      <c r="G949" s="707">
        <f t="shared" si="691"/>
        <v>1.4801116084165213E-2</v>
      </c>
      <c r="H949" s="707">
        <f t="shared" si="691"/>
        <v>1.5257498667063794E-2</v>
      </c>
      <c r="I949" s="707">
        <f t="shared" si="691"/>
        <v>1.3736672637452641E-2</v>
      </c>
      <c r="J949" s="707">
        <f t="shared" si="691"/>
        <v>1.4192798233050221E-2</v>
      </c>
      <c r="K949" s="707">
        <f t="shared" si="691"/>
        <v>6.9438849563185426E-3</v>
      </c>
      <c r="L949" s="707">
        <f t="shared" si="691"/>
        <v>6.9429072612527034E-3</v>
      </c>
      <c r="M949" s="707">
        <f t="shared" si="691"/>
        <v>6.942605697126682E-3</v>
      </c>
      <c r="N949" s="707">
        <f t="shared" si="691"/>
        <v>6.9423099564242001E-3</v>
      </c>
      <c r="O949" s="707">
        <f t="shared" si="691"/>
        <v>6.939463278509396E-3</v>
      </c>
      <c r="P949" s="707">
        <f t="shared" si="691"/>
        <v>6.9411303517349322E-3</v>
      </c>
      <c r="Q949" s="707">
        <f t="shared" si="691"/>
        <v>6.9331663880277793E-3</v>
      </c>
      <c r="R949" s="707">
        <f t="shared" si="691"/>
        <v>4.4339117634581973E-3</v>
      </c>
      <c r="S949" s="707">
        <f t="shared" si="691"/>
        <v>4.4340831157120052E-3</v>
      </c>
      <c r="T949" s="707">
        <f t="shared" si="691"/>
        <v>4.4118643622926071E-3</v>
      </c>
      <c r="U949" s="707">
        <f t="shared" si="691"/>
        <v>4.4142999869947264E-3</v>
      </c>
      <c r="V949" s="707">
        <f t="shared" si="691"/>
        <v>4.4009607791902087E-3</v>
      </c>
      <c r="W949" s="707">
        <f t="shared" si="691"/>
        <v>4.4056189724562198E-3</v>
      </c>
      <c r="X949" s="707">
        <f t="shared" si="691"/>
        <v>4.4467228026535445E-3</v>
      </c>
      <c r="Y949" s="707">
        <f t="shared" si="691"/>
        <v>4.4272321447498646E-3</v>
      </c>
      <c r="Z949" s="707">
        <f t="shared" si="691"/>
        <v>4.4169534656410782E-3</v>
      </c>
      <c r="AA949" s="707">
        <f t="shared" si="691"/>
        <v>0.49054791510334816</v>
      </c>
      <c r="AB949" s="707">
        <f t="shared" si="691"/>
        <v>0.49186479241562026</v>
      </c>
      <c r="AC949" s="707">
        <f t="shared" si="691"/>
        <v>0.49159605020071911</v>
      </c>
      <c r="AD949" s="707">
        <f t="shared" si="691"/>
        <v>0.49181068481713502</v>
      </c>
      <c r="AE949" s="707">
        <f t="shared" si="691"/>
        <v>0.49076287433522864</v>
      </c>
      <c r="AF949" s="707">
        <f t="shared" si="691"/>
        <v>0.49175017955282063</v>
      </c>
    </row>
    <row r="950" spans="1:32" x14ac:dyDescent="0.2">
      <c r="A950" s="6">
        <v>4</v>
      </c>
      <c r="C950" s="707">
        <f t="shared" si="688"/>
        <v>1.291054461664058E-2</v>
      </c>
      <c r="D950" s="707">
        <f t="shared" si="688"/>
        <v>1.4292849875714336E-2</v>
      </c>
      <c r="E950" s="707">
        <f t="shared" si="688"/>
        <v>1.4249020728248078E-2</v>
      </c>
      <c r="F950" s="707">
        <f t="shared" si="688"/>
        <v>1.2564945060969931E-2</v>
      </c>
      <c r="G950" s="707">
        <f t="shared" si="691"/>
        <v>1.4779105768904526E-2</v>
      </c>
      <c r="H950" s="707">
        <f t="shared" si="691"/>
        <v>1.5232866642406789E-2</v>
      </c>
      <c r="I950" s="707">
        <f t="shared" si="691"/>
        <v>1.3726087317054316E-2</v>
      </c>
      <c r="J950" s="707">
        <f t="shared" si="691"/>
        <v>1.4179136966203199E-2</v>
      </c>
      <c r="K950" s="707">
        <f t="shared" si="691"/>
        <v>6.9439821023540085E-3</v>
      </c>
      <c r="L950" s="707">
        <f t="shared" si="691"/>
        <v>6.9429542604238807E-3</v>
      </c>
      <c r="M950" s="707">
        <f t="shared" si="691"/>
        <v>6.9426514628248889E-3</v>
      </c>
      <c r="N950" s="707">
        <f t="shared" si="691"/>
        <v>6.9423726548308801E-3</v>
      </c>
      <c r="O950" s="707">
        <f t="shared" si="691"/>
        <v>6.9395268975301662E-3</v>
      </c>
      <c r="P950" s="707">
        <f t="shared" si="691"/>
        <v>6.941168799483523E-3</v>
      </c>
      <c r="Q950" s="707">
        <f t="shared" si="691"/>
        <v>6.9332399722795302E-3</v>
      </c>
      <c r="R950" s="707">
        <f t="shared" si="691"/>
        <v>4.4340633837365358E-3</v>
      </c>
      <c r="S950" s="707">
        <f t="shared" si="691"/>
        <v>4.4342301898652701E-3</v>
      </c>
      <c r="T950" s="707">
        <f t="shared" si="691"/>
        <v>4.4120368880352472E-3</v>
      </c>
      <c r="U950" s="707">
        <f t="shared" si="691"/>
        <v>4.4144581969334622E-3</v>
      </c>
      <c r="V950" s="707">
        <f t="shared" si="691"/>
        <v>4.4009773177161151E-3</v>
      </c>
      <c r="W950" s="707">
        <f t="shared" si="691"/>
        <v>4.4054045535315087E-3</v>
      </c>
      <c r="X950" s="707">
        <f t="shared" si="691"/>
        <v>4.4468425386533297E-3</v>
      </c>
      <c r="Y950" s="707">
        <f t="shared" si="691"/>
        <v>4.4274662089888572E-3</v>
      </c>
      <c r="Z950" s="707">
        <f t="shared" si="691"/>
        <v>4.4171248809582288E-3</v>
      </c>
      <c r="AA950" s="707">
        <f t="shared" si="691"/>
        <v>0.49055836876708225</v>
      </c>
      <c r="AB950" s="707">
        <f t="shared" si="691"/>
        <v>0.49187694742480903</v>
      </c>
      <c r="AC950" s="707">
        <f t="shared" si="691"/>
        <v>0.49160596610103729</v>
      </c>
      <c r="AD950" s="707">
        <f t="shared" si="691"/>
        <v>0.49182081132282213</v>
      </c>
      <c r="AE950" s="707">
        <f t="shared" si="691"/>
        <v>0.49077405617305714</v>
      </c>
      <c r="AF950" s="707">
        <f t="shared" si="691"/>
        <v>0.49176068645134519</v>
      </c>
    </row>
    <row r="951" spans="1:32" x14ac:dyDescent="0.2">
      <c r="A951" s="6">
        <v>3</v>
      </c>
      <c r="C951" s="707">
        <f t="shared" si="688"/>
        <v>1.2908498315129708E-2</v>
      </c>
      <c r="D951" s="707">
        <f t="shared" si="688"/>
        <v>1.426269276749257E-2</v>
      </c>
      <c r="E951" s="707">
        <f t="shared" si="688"/>
        <v>1.4226809965661693E-2</v>
      </c>
      <c r="F951" s="707">
        <f t="shared" si="688"/>
        <v>1.2519629098492342E-2</v>
      </c>
      <c r="G951" s="707">
        <f t="shared" si="691"/>
        <v>1.4749029853861874E-2</v>
      </c>
      <c r="H951" s="707">
        <f t="shared" si="691"/>
        <v>1.519958389054177E-2</v>
      </c>
      <c r="I951" s="707">
        <f t="shared" si="691"/>
        <v>1.3711406409296131E-2</v>
      </c>
      <c r="J951" s="707">
        <f t="shared" si="691"/>
        <v>1.4160524829344949E-2</v>
      </c>
      <c r="K951" s="707">
        <f t="shared" si="691"/>
        <v>6.9440502368525768E-3</v>
      </c>
      <c r="L951" s="707">
        <f t="shared" si="691"/>
        <v>6.9429636268832145E-3</v>
      </c>
      <c r="M951" s="707">
        <f t="shared" si="691"/>
        <v>6.9426572476606633E-3</v>
      </c>
      <c r="N951" s="707">
        <f t="shared" si="691"/>
        <v>6.9424005424691621E-3</v>
      </c>
      <c r="O951" s="707">
        <f t="shared" si="691"/>
        <v>6.9395490830468018E-3</v>
      </c>
      <c r="P951" s="707">
        <f t="shared" si="691"/>
        <v>6.9411608651049825E-3</v>
      </c>
      <c r="Q951" s="707">
        <f t="shared" si="691"/>
        <v>6.9332425025875133E-3</v>
      </c>
      <c r="R951" s="707">
        <f t="shared" si="691"/>
        <v>4.4341684012660252E-3</v>
      </c>
      <c r="S951" s="707">
        <f t="shared" si="691"/>
        <v>4.434322828918643E-3</v>
      </c>
      <c r="T951" s="707">
        <f t="shared" si="691"/>
        <v>4.4121508687781467E-3</v>
      </c>
      <c r="U951" s="707">
        <f t="shared" si="691"/>
        <v>4.414505448491376E-3</v>
      </c>
      <c r="V951" s="707">
        <f t="shared" si="691"/>
        <v>4.4008288991983493E-3</v>
      </c>
      <c r="W951" s="707">
        <f t="shared" si="691"/>
        <v>4.4049271489165027E-3</v>
      </c>
      <c r="X951" s="707">
        <f t="shared" si="691"/>
        <v>4.4469141887217966E-3</v>
      </c>
      <c r="Y951" s="707">
        <f t="shared" si="691"/>
        <v>4.4276239426322833E-3</v>
      </c>
      <c r="Z951" s="707">
        <f t="shared" si="691"/>
        <v>4.4171993369856088E-3</v>
      </c>
      <c r="AA951" s="707">
        <f t="shared" si="691"/>
        <v>0.49056790783246568</v>
      </c>
      <c r="AB951" s="707">
        <f t="shared" si="691"/>
        <v>0.4918879732215054</v>
      </c>
      <c r="AC951" s="707">
        <f t="shared" si="691"/>
        <v>0.49161504852122984</v>
      </c>
      <c r="AD951" s="707">
        <f t="shared" si="691"/>
        <v>0.49183008837226055</v>
      </c>
      <c r="AE951" s="707">
        <f t="shared" si="691"/>
        <v>0.49078425129558745</v>
      </c>
      <c r="AF951" s="707">
        <f t="shared" si="691"/>
        <v>0.49177038387425664</v>
      </c>
    </row>
    <row r="952" spans="1:32" x14ac:dyDescent="0.2">
      <c r="A952" s="6">
        <v>1.2</v>
      </c>
      <c r="C952" s="707">
        <f t="shared" si="688"/>
        <v>1.290217183144707E-2</v>
      </c>
      <c r="D952" s="707">
        <f t="shared" si="688"/>
        <v>1.4174119412113689E-2</v>
      </c>
      <c r="E952" s="707">
        <f t="shared" si="688"/>
        <v>1.4161362125226007E-2</v>
      </c>
      <c r="F952" s="707">
        <f t="shared" si="688"/>
        <v>1.2388708833119079E-2</v>
      </c>
      <c r="G952" s="707">
        <f t="shared" si="691"/>
        <v>1.4660475590503909E-2</v>
      </c>
      <c r="H952" s="707">
        <f t="shared" si="691"/>
        <v>1.5102760458702394E-2</v>
      </c>
      <c r="I952" s="707">
        <f t="shared" si="691"/>
        <v>1.3667504039811621E-2</v>
      </c>
      <c r="J952" s="707">
        <f t="shared" si="691"/>
        <v>1.4105896575924275E-2</v>
      </c>
      <c r="K952" s="707">
        <f t="shared" si="691"/>
        <v>6.9440490806000092E-3</v>
      </c>
      <c r="L952" s="707">
        <f t="shared" si="691"/>
        <v>6.9428198997872823E-3</v>
      </c>
      <c r="M952" s="707">
        <f t="shared" si="691"/>
        <v>6.942497053588262E-3</v>
      </c>
      <c r="N952" s="707">
        <f t="shared" si="691"/>
        <v>6.9423021953235091E-3</v>
      </c>
      <c r="O952" s="707">
        <f t="shared" si="691"/>
        <v>6.939412211471257E-3</v>
      </c>
      <c r="P952" s="707">
        <f t="shared" si="691"/>
        <v>6.940948660899538E-3</v>
      </c>
      <c r="Q952" s="707">
        <f t="shared" si="691"/>
        <v>6.9329438549699494E-3</v>
      </c>
      <c r="R952" s="707">
        <f t="shared" si="691"/>
        <v>4.4341585690556009E-3</v>
      </c>
      <c r="S952" s="707">
        <f t="shared" si="691"/>
        <v>4.434257293156523E-3</v>
      </c>
      <c r="T952" s="707">
        <f t="shared" si="691"/>
        <v>4.4121062102472413E-3</v>
      </c>
      <c r="U952" s="707">
        <f t="shared" si="691"/>
        <v>4.4141170184701008E-3</v>
      </c>
      <c r="V952" s="707">
        <f t="shared" si="691"/>
        <v>4.3998578393516126E-3</v>
      </c>
      <c r="W952" s="707">
        <f t="shared" si="691"/>
        <v>4.4029456051734852E-3</v>
      </c>
      <c r="X952" s="707">
        <f t="shared" si="691"/>
        <v>4.446837966028962E-3</v>
      </c>
      <c r="Y952" s="707">
        <f t="shared" si="691"/>
        <v>4.4275821444318035E-3</v>
      </c>
      <c r="Z952" s="707">
        <f t="shared" si="691"/>
        <v>4.4169196120849869E-3</v>
      </c>
      <c r="AA952" s="707">
        <f t="shared" si="691"/>
        <v>0.49058117536599405</v>
      </c>
      <c r="AB952" s="707">
        <f t="shared" si="691"/>
        <v>0.49190300106756579</v>
      </c>
      <c r="AC952" s="707">
        <f t="shared" si="691"/>
        <v>0.49162784024199851</v>
      </c>
      <c r="AD952" s="707">
        <f t="shared" si="691"/>
        <v>0.49184316225218322</v>
      </c>
      <c r="AE952" s="707">
        <f t="shared" si="691"/>
        <v>0.49079839199374697</v>
      </c>
      <c r="AF952" s="707">
        <f t="shared" si="691"/>
        <v>0.4917843850322397</v>
      </c>
    </row>
    <row r="953" spans="1:32" x14ac:dyDescent="0.2">
      <c r="A953" s="6">
        <v>0.8</v>
      </c>
      <c r="C953" s="707">
        <f t="shared" si="688"/>
        <v>1.2899831869649202E-2</v>
      </c>
      <c r="D953" s="707">
        <f t="shared" si="688"/>
        <v>1.4142318283147538E-2</v>
      </c>
      <c r="E953" s="707">
        <f t="shared" si="688"/>
        <v>1.4137817695529921E-2</v>
      </c>
      <c r="F953" s="707">
        <f t="shared" si="688"/>
        <v>1.2342174786112596E-2</v>
      </c>
      <c r="G953" s="707">
        <f t="shared" si="691"/>
        <v>1.4628633803179933E-2</v>
      </c>
      <c r="H953" s="707">
        <f t="shared" si="691"/>
        <v>1.5068198696237229E-2</v>
      </c>
      <c r="I953" s="707">
        <f t="shared" si="691"/>
        <v>1.3651571742062583E-2</v>
      </c>
      <c r="J953" s="707">
        <f t="shared" si="691"/>
        <v>1.4086290967575582E-2</v>
      </c>
      <c r="K953" s="707">
        <f t="shared" si="691"/>
        <v>6.9440050737621887E-3</v>
      </c>
      <c r="L953" s="707">
        <f t="shared" si="691"/>
        <v>6.9427312096608622E-3</v>
      </c>
      <c r="M953" s="707">
        <f t="shared" si="691"/>
        <v>6.9424011630825743E-3</v>
      </c>
      <c r="N953" s="707">
        <f t="shared" si="691"/>
        <v>6.9422278451693646E-3</v>
      </c>
      <c r="O953" s="707">
        <f t="shared" si="691"/>
        <v>6.9393193131341646E-3</v>
      </c>
      <c r="P953" s="707">
        <f t="shared" si="691"/>
        <v>6.9408315593700856E-3</v>
      </c>
      <c r="Q953" s="707">
        <f t="shared" si="691"/>
        <v>6.9327703382727774E-3</v>
      </c>
      <c r="R953" s="707">
        <f t="shared" si="691"/>
        <v>4.4340861063792789E-3</v>
      </c>
      <c r="S953" s="707">
        <f t="shared" si="691"/>
        <v>4.4341606405941042E-3</v>
      </c>
      <c r="T953" s="707">
        <f t="shared" si="691"/>
        <v>4.4120079992704181E-3</v>
      </c>
      <c r="U953" s="707">
        <f t="shared" si="691"/>
        <v>4.4138633735555013E-3</v>
      </c>
      <c r="V953" s="707">
        <f t="shared" si="691"/>
        <v>4.399393290237248E-3</v>
      </c>
      <c r="W953" s="707">
        <f t="shared" si="691"/>
        <v>4.4021086752099288E-3</v>
      </c>
      <c r="X953" s="707">
        <f t="shared" si="691"/>
        <v>4.4467485132476288E-3</v>
      </c>
      <c r="Y953" s="707">
        <f t="shared" si="691"/>
        <v>4.4274577481018974E-3</v>
      </c>
      <c r="Z953" s="707">
        <f t="shared" si="691"/>
        <v>4.4167112347321029E-3</v>
      </c>
      <c r="AA953" s="707">
        <f t="shared" si="691"/>
        <v>0.49058274447685513</v>
      </c>
      <c r="AB953" s="707">
        <f t="shared" si="691"/>
        <v>0.49190463771720072</v>
      </c>
      <c r="AC953" s="707">
        <f t="shared" si="691"/>
        <v>0.4916294259443586</v>
      </c>
      <c r="AD953" s="707">
        <f t="shared" si="691"/>
        <v>0.4918447865643113</v>
      </c>
      <c r="AE953" s="707">
        <f t="shared" si="691"/>
        <v>0.49080004638760505</v>
      </c>
      <c r="AF953" s="707">
        <f t="shared" si="691"/>
        <v>0.49178627569763983</v>
      </c>
    </row>
    <row r="954" spans="1:32" x14ac:dyDescent="0.2">
      <c r="A954" s="6">
        <v>0.4</v>
      </c>
      <c r="C954" s="707">
        <f t="shared" si="688"/>
        <v>1.2896590425815469E-2</v>
      </c>
      <c r="D954" s="707">
        <f t="shared" si="688"/>
        <v>1.4098821854992151E-2</v>
      </c>
      <c r="E954" s="707">
        <f t="shared" si="688"/>
        <v>1.4105586870932576E-2</v>
      </c>
      <c r="F954" s="707">
        <f t="shared" si="688"/>
        <v>1.2278808674155454E-2</v>
      </c>
      <c r="G954" s="707">
        <f t="shared" si="691"/>
        <v>1.4585053382454111E-2</v>
      </c>
      <c r="H954" s="707">
        <f t="shared" si="691"/>
        <v>1.5021046708853979E-2</v>
      </c>
      <c r="I954" s="707">
        <f t="shared" si="691"/>
        <v>1.3629678747045855E-2</v>
      </c>
      <c r="J954" s="707">
        <f t="shared" si="691"/>
        <v>1.4059479887885262E-2</v>
      </c>
      <c r="K954" s="707">
        <f t="shared" si="691"/>
        <v>6.9439188436793177E-3</v>
      </c>
      <c r="L954" s="707">
        <f t="shared" si="691"/>
        <v>6.9425877490746886E-3</v>
      </c>
      <c r="M954" s="707">
        <f t="shared" si="691"/>
        <v>6.9422470846305651E-3</v>
      </c>
      <c r="N954" s="707">
        <f t="shared" si="691"/>
        <v>6.9421028315977797E-3</v>
      </c>
      <c r="O954" s="707">
        <f t="shared" si="691"/>
        <v>6.9391661126833124E-3</v>
      </c>
      <c r="P954" s="707">
        <f t="shared" si="691"/>
        <v>6.940646953525826E-3</v>
      </c>
      <c r="Q954" s="707">
        <f t="shared" si="691"/>
        <v>6.9324934100228157E-3</v>
      </c>
      <c r="R954" s="707">
        <f t="shared" si="691"/>
        <v>4.4339458182964097E-3</v>
      </c>
      <c r="S954" s="707">
        <f t="shared" si="691"/>
        <v>4.43398476346078E-3</v>
      </c>
      <c r="T954" s="707">
        <f t="shared" si="691"/>
        <v>4.4118245821950959E-3</v>
      </c>
      <c r="U954" s="707">
        <f t="shared" si="691"/>
        <v>4.413448240370898E-3</v>
      </c>
      <c r="V954" s="707">
        <f t="shared" si="691"/>
        <v>4.3986886634702523E-3</v>
      </c>
      <c r="W954" s="707">
        <f t="shared" si="691"/>
        <v>4.4008889971939337E-3</v>
      </c>
      <c r="X954" s="707">
        <f t="shared" si="691"/>
        <v>4.4465890764434348E-3</v>
      </c>
      <c r="Y954" s="707">
        <f t="shared" si="691"/>
        <v>4.4272222606066827E-3</v>
      </c>
      <c r="Z954" s="707">
        <f t="shared" si="691"/>
        <v>4.4163617433160014E-3</v>
      </c>
      <c r="AA954" s="707">
        <f t="shared" si="691"/>
        <v>0.49058298248587145</v>
      </c>
      <c r="AB954" s="707">
        <f t="shared" si="691"/>
        <v>0.49190463091664716</v>
      </c>
      <c r="AC954" s="707">
        <f t="shared" si="691"/>
        <v>0.49162979860393125</v>
      </c>
      <c r="AD954" s="707">
        <f t="shared" si="691"/>
        <v>0.4918451745820826</v>
      </c>
      <c r="AE954" s="707">
        <f t="shared" si="691"/>
        <v>0.49080026472097527</v>
      </c>
      <c r="AF954" s="707">
        <f t="shared" si="691"/>
        <v>0.49178698825629935</v>
      </c>
    </row>
    <row r="955" spans="1:32" x14ac:dyDescent="0.2">
      <c r="A955" s="6">
        <v>1.0000000000000001E-5</v>
      </c>
      <c r="C955" s="707">
        <f t="shared" si="688"/>
        <v>1.2888143435172934E-2</v>
      </c>
      <c r="D955" s="707">
        <f t="shared" si="688"/>
        <v>1.398779175183225E-2</v>
      </c>
      <c r="E955" s="707">
        <f t="shared" si="688"/>
        <v>1.4023197073684657E-2</v>
      </c>
      <c r="F955" s="707">
        <f t="shared" si="688"/>
        <v>1.2118247017059493E-2</v>
      </c>
      <c r="G955" s="707">
        <f t="shared" si="691"/>
        <v>1.4473689054459652E-2</v>
      </c>
      <c r="H955" s="707">
        <f t="shared" si="691"/>
        <v>1.4901193369549372E-2</v>
      </c>
      <c r="I955" s="707">
        <f t="shared" si="691"/>
        <v>1.3573366121871671E-2</v>
      </c>
      <c r="J955" s="707">
        <f t="shared" si="691"/>
        <v>1.3991061325719884E-2</v>
      </c>
      <c r="K955" s="707">
        <f t="shared" si="691"/>
        <v>6.943588796694925E-3</v>
      </c>
      <c r="L955" s="707">
        <f t="shared" si="691"/>
        <v>6.9421280188504608E-3</v>
      </c>
      <c r="M955" s="707">
        <f t="shared" si="691"/>
        <v>6.9417570024545945E-3</v>
      </c>
      <c r="N955" s="707">
        <f t="shared" si="691"/>
        <v>6.9416852641331428E-3</v>
      </c>
      <c r="O955" s="707">
        <f t="shared" si="691"/>
        <v>6.9386647001801706E-3</v>
      </c>
      <c r="P955" s="707">
        <f t="shared" si="691"/>
        <v>6.9400725471460553E-3</v>
      </c>
      <c r="Q955" s="707">
        <f t="shared" si="691"/>
        <v>6.9316193364098574E-3</v>
      </c>
      <c r="R955" s="707">
        <f t="shared" si="691"/>
        <v>4.4334138744187594E-3</v>
      </c>
      <c r="S955" s="707">
        <f t="shared" si="691"/>
        <v>4.4333514066970843E-3</v>
      </c>
      <c r="T955" s="707">
        <f t="shared" si="691"/>
        <v>4.4111491452152474E-3</v>
      </c>
      <c r="U955" s="707">
        <f t="shared" si="691"/>
        <v>4.4121005999974393E-3</v>
      </c>
      <c r="V955" s="707">
        <f t="shared" si="691"/>
        <v>4.3965977206331204E-3</v>
      </c>
      <c r="W955" s="707">
        <f t="shared" si="691"/>
        <v>4.397459162622251E-3</v>
      </c>
      <c r="X955" s="707">
        <f t="shared" si="691"/>
        <v>4.4460255193458061E-3</v>
      </c>
      <c r="Y955" s="707">
        <f t="shared" si="691"/>
        <v>4.4263452806210385E-3</v>
      </c>
      <c r="Z955" s="707">
        <f t="shared" si="691"/>
        <v>4.4151973943752218E-3</v>
      </c>
      <c r="AA955" s="707">
        <f t="shared" si="691"/>
        <v>0.49057553401205678</v>
      </c>
      <c r="AB955" s="707">
        <f t="shared" si="691"/>
        <v>0.49189513397700119</v>
      </c>
      <c r="AC955" s="707">
        <f t="shared" si="691"/>
        <v>0.49162316651192911</v>
      </c>
      <c r="AD955" s="707">
        <f t="shared" si="691"/>
        <v>0.49183842358119689</v>
      </c>
      <c r="AE955" s="707">
        <f t="shared" si="691"/>
        <v>0.49079219048601302</v>
      </c>
      <c r="AF955" s="707">
        <f t="shared" si="691"/>
        <v>0.49178089779385792</v>
      </c>
    </row>
    <row r="957" spans="1:32" x14ac:dyDescent="0.2">
      <c r="A957" s="700" t="s">
        <v>641</v>
      </c>
    </row>
    <row r="958" spans="1:32" x14ac:dyDescent="0.2">
      <c r="A958" s="6">
        <v>1.0000000000000001E-5</v>
      </c>
    </row>
    <row r="959" spans="1:32" x14ac:dyDescent="0.2">
      <c r="A959" s="6">
        <v>0.4</v>
      </c>
    </row>
    <row r="960" spans="1:32" x14ac:dyDescent="0.2">
      <c r="A960" s="6">
        <v>0.8</v>
      </c>
    </row>
    <row r="961" spans="1:1" x14ac:dyDescent="0.2">
      <c r="A961" s="6">
        <v>1.2</v>
      </c>
    </row>
    <row r="962" spans="1:1" x14ac:dyDescent="0.2">
      <c r="A962" s="6">
        <v>3</v>
      </c>
    </row>
    <row r="963" spans="1:1" x14ac:dyDescent="0.2">
      <c r="A963" s="6">
        <v>4</v>
      </c>
    </row>
    <row r="964" spans="1:1" x14ac:dyDescent="0.2">
      <c r="A964" s="6">
        <v>5</v>
      </c>
    </row>
    <row r="965" spans="1:1" x14ac:dyDescent="0.2">
      <c r="A965" s="6">
        <v>6</v>
      </c>
    </row>
    <row r="966" spans="1:1" x14ac:dyDescent="0.2">
      <c r="A966" s="6">
        <v>8</v>
      </c>
    </row>
    <row r="967" spans="1:1" x14ac:dyDescent="0.2">
      <c r="A967" s="6">
        <v>9</v>
      </c>
    </row>
    <row r="968" spans="1:1" x14ac:dyDescent="0.2">
      <c r="A968" s="6">
        <v>11</v>
      </c>
    </row>
    <row r="969" spans="1:1" x14ac:dyDescent="0.2">
      <c r="A969" s="6">
        <v>12</v>
      </c>
    </row>
    <row r="970" spans="1:1" x14ac:dyDescent="0.2">
      <c r="A970" s="6">
        <v>13</v>
      </c>
    </row>
    <row r="971" spans="1:1" x14ac:dyDescent="0.2">
      <c r="A971" s="6">
        <v>14</v>
      </c>
    </row>
    <row r="972" spans="1:1" x14ac:dyDescent="0.2">
      <c r="A972" s="6">
        <v>15</v>
      </c>
    </row>
    <row r="973" spans="1:1" x14ac:dyDescent="0.2">
      <c r="A973" s="6">
        <v>17</v>
      </c>
    </row>
    <row r="974" spans="1:1" x14ac:dyDescent="0.2">
      <c r="A974" s="6">
        <v>18.8</v>
      </c>
    </row>
    <row r="975" spans="1:1" x14ac:dyDescent="0.2">
      <c r="A975" s="6">
        <v>19.2</v>
      </c>
    </row>
    <row r="976" spans="1:1" x14ac:dyDescent="0.2">
      <c r="A976" s="6">
        <v>19.600000000000001</v>
      </c>
    </row>
    <row r="977" spans="1:1" x14ac:dyDescent="0.2">
      <c r="A977" s="6">
        <v>19.998999999999999</v>
      </c>
    </row>
    <row r="978" spans="1:1" x14ac:dyDescent="0.2">
      <c r="A978" s="6">
        <v>19.600000000000001</v>
      </c>
    </row>
    <row r="979" spans="1:1" x14ac:dyDescent="0.2">
      <c r="A979" s="6">
        <v>19.2</v>
      </c>
    </row>
    <row r="980" spans="1:1" x14ac:dyDescent="0.2">
      <c r="A980" s="6">
        <v>18.8</v>
      </c>
    </row>
    <row r="981" spans="1:1" x14ac:dyDescent="0.2">
      <c r="A981" s="6">
        <v>17</v>
      </c>
    </row>
    <row r="982" spans="1:1" x14ac:dyDescent="0.2">
      <c r="A982" s="6">
        <v>15</v>
      </c>
    </row>
    <row r="983" spans="1:1" x14ac:dyDescent="0.2">
      <c r="A983" s="6">
        <v>14</v>
      </c>
    </row>
    <row r="984" spans="1:1" x14ac:dyDescent="0.2">
      <c r="A984" s="6">
        <v>13</v>
      </c>
    </row>
    <row r="985" spans="1:1" x14ac:dyDescent="0.2">
      <c r="A985" s="6">
        <v>12</v>
      </c>
    </row>
    <row r="986" spans="1:1" x14ac:dyDescent="0.2">
      <c r="A986" s="6">
        <v>11</v>
      </c>
    </row>
    <row r="987" spans="1:1" x14ac:dyDescent="0.2">
      <c r="A987" s="6">
        <v>9</v>
      </c>
    </row>
    <row r="988" spans="1:1" x14ac:dyDescent="0.2">
      <c r="A988" s="6">
        <v>8</v>
      </c>
    </row>
    <row r="989" spans="1:1" x14ac:dyDescent="0.2">
      <c r="A989" s="6">
        <v>6</v>
      </c>
    </row>
    <row r="990" spans="1:1" x14ac:dyDescent="0.2">
      <c r="A990" s="6">
        <v>5</v>
      </c>
    </row>
    <row r="991" spans="1:1" x14ac:dyDescent="0.2">
      <c r="A991" s="6">
        <v>4</v>
      </c>
    </row>
    <row r="992" spans="1:1" x14ac:dyDescent="0.2">
      <c r="A992" s="6">
        <v>3</v>
      </c>
    </row>
    <row r="993" spans="1:1" x14ac:dyDescent="0.2">
      <c r="A993" s="6">
        <v>1.2</v>
      </c>
    </row>
    <row r="994" spans="1:1" x14ac:dyDescent="0.2">
      <c r="A994" s="6">
        <v>0.8</v>
      </c>
    </row>
    <row r="995" spans="1:1" x14ac:dyDescent="0.2">
      <c r="A995" s="6">
        <v>0.4</v>
      </c>
    </row>
    <row r="996" spans="1:1" x14ac:dyDescent="0.2">
      <c r="A996" s="6">
        <v>1.0000000000000001E-5</v>
      </c>
    </row>
    <row r="997" spans="1:1" x14ac:dyDescent="0.2">
      <c r="A997" s="700" t="s">
        <v>642</v>
      </c>
    </row>
    <row r="998" spans="1:1" x14ac:dyDescent="0.2">
      <c r="A998" s="6">
        <v>1.0000000000000001E-5</v>
      </c>
    </row>
    <row r="999" spans="1:1" x14ac:dyDescent="0.2">
      <c r="A999" s="6">
        <v>0.4</v>
      </c>
    </row>
    <row r="1000" spans="1:1" x14ac:dyDescent="0.2">
      <c r="A1000" s="6">
        <v>0.8</v>
      </c>
    </row>
    <row r="1001" spans="1:1" x14ac:dyDescent="0.2">
      <c r="A1001" s="6">
        <v>1.2</v>
      </c>
    </row>
    <row r="1002" spans="1:1" x14ac:dyDescent="0.2">
      <c r="A1002" s="6">
        <v>3</v>
      </c>
    </row>
    <row r="1003" spans="1:1" x14ac:dyDescent="0.2">
      <c r="A1003" s="6">
        <v>4</v>
      </c>
    </row>
    <row r="1004" spans="1:1" x14ac:dyDescent="0.2">
      <c r="A1004" s="6">
        <v>5</v>
      </c>
    </row>
    <row r="1005" spans="1:1" x14ac:dyDescent="0.2">
      <c r="A1005" s="6">
        <v>6</v>
      </c>
    </row>
    <row r="1006" spans="1:1" x14ac:dyDescent="0.2">
      <c r="A1006" s="6">
        <v>8</v>
      </c>
    </row>
    <row r="1007" spans="1:1" x14ac:dyDescent="0.2">
      <c r="A1007" s="6">
        <v>9</v>
      </c>
    </row>
    <row r="1008" spans="1:1" x14ac:dyDescent="0.2">
      <c r="A1008" s="6">
        <v>11</v>
      </c>
    </row>
    <row r="1009" spans="1:1" x14ac:dyDescent="0.2">
      <c r="A1009" s="6">
        <v>12</v>
      </c>
    </row>
    <row r="1010" spans="1:1" x14ac:dyDescent="0.2">
      <c r="A1010" s="6">
        <v>13</v>
      </c>
    </row>
    <row r="1011" spans="1:1" x14ac:dyDescent="0.2">
      <c r="A1011" s="6">
        <v>14</v>
      </c>
    </row>
    <row r="1012" spans="1:1" x14ac:dyDescent="0.2">
      <c r="A1012" s="6">
        <v>15</v>
      </c>
    </row>
    <row r="1013" spans="1:1" x14ac:dyDescent="0.2">
      <c r="A1013" s="6">
        <v>17</v>
      </c>
    </row>
    <row r="1014" spans="1:1" x14ac:dyDescent="0.2">
      <c r="A1014" s="6">
        <v>18.8</v>
      </c>
    </row>
    <row r="1015" spans="1:1" x14ac:dyDescent="0.2">
      <c r="A1015" s="6">
        <v>19.2</v>
      </c>
    </row>
    <row r="1016" spans="1:1" x14ac:dyDescent="0.2">
      <c r="A1016" s="6">
        <v>19.600000000000001</v>
      </c>
    </row>
    <row r="1017" spans="1:1" x14ac:dyDescent="0.2">
      <c r="A1017" s="6">
        <v>19.998999999999999</v>
      </c>
    </row>
    <row r="1018" spans="1:1" x14ac:dyDescent="0.2">
      <c r="A1018" s="6">
        <v>19.600000000000001</v>
      </c>
    </row>
    <row r="1019" spans="1:1" x14ac:dyDescent="0.2">
      <c r="A1019" s="6">
        <v>19.2</v>
      </c>
    </row>
    <row r="1020" spans="1:1" x14ac:dyDescent="0.2">
      <c r="A1020" s="6">
        <v>18.8</v>
      </c>
    </row>
    <row r="1021" spans="1:1" x14ac:dyDescent="0.2">
      <c r="A1021" s="6">
        <v>17</v>
      </c>
    </row>
    <row r="1022" spans="1:1" x14ac:dyDescent="0.2">
      <c r="A1022" s="6">
        <v>15</v>
      </c>
    </row>
    <row r="1023" spans="1:1" x14ac:dyDescent="0.2">
      <c r="A1023" s="6">
        <v>14</v>
      </c>
    </row>
    <row r="1024" spans="1:1" x14ac:dyDescent="0.2">
      <c r="A1024" s="6">
        <v>13</v>
      </c>
    </row>
    <row r="1025" spans="1:1" x14ac:dyDescent="0.2">
      <c r="A1025" s="6">
        <v>12</v>
      </c>
    </row>
    <row r="1026" spans="1:1" x14ac:dyDescent="0.2">
      <c r="A1026" s="6">
        <v>11</v>
      </c>
    </row>
    <row r="1027" spans="1:1" x14ac:dyDescent="0.2">
      <c r="A1027" s="6">
        <v>9</v>
      </c>
    </row>
    <row r="1028" spans="1:1" x14ac:dyDescent="0.2">
      <c r="A1028" s="6">
        <v>8</v>
      </c>
    </row>
    <row r="1029" spans="1:1" x14ac:dyDescent="0.2">
      <c r="A1029" s="6">
        <v>6</v>
      </c>
    </row>
    <row r="1030" spans="1:1" x14ac:dyDescent="0.2">
      <c r="A1030" s="6">
        <v>5</v>
      </c>
    </row>
    <row r="1031" spans="1:1" x14ac:dyDescent="0.2">
      <c r="A1031" s="6">
        <v>4</v>
      </c>
    </row>
    <row r="1032" spans="1:1" x14ac:dyDescent="0.2">
      <c r="A1032" s="6">
        <v>3</v>
      </c>
    </row>
    <row r="1033" spans="1:1" x14ac:dyDescent="0.2">
      <c r="A1033" s="6">
        <v>1.2</v>
      </c>
    </row>
    <row r="1034" spans="1:1" x14ac:dyDescent="0.2">
      <c r="A1034" s="6">
        <v>0.8</v>
      </c>
    </row>
    <row r="1035" spans="1:1" x14ac:dyDescent="0.2">
      <c r="A1035" s="6">
        <v>0.4</v>
      </c>
    </row>
    <row r="1036" spans="1:1" x14ac:dyDescent="0.2">
      <c r="A1036" s="6">
        <v>1.0000000000000001E-5</v>
      </c>
    </row>
  </sheetData>
  <phoneticPr fontId="14" type="noConversion"/>
  <pageMargins left="0.75" right="0.75" top="1" bottom="1" header="0.5" footer="0.5"/>
  <pageSetup paperSize="9" orientation="portrait"/>
  <headerFooter alignWithMargins="0"/>
  <cellWatches>
    <cellWatch r="C2"/>
  </cellWatch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A341"/>
  <sheetViews>
    <sheetView topLeftCell="AG1" zoomScale="120" workbookViewId="0">
      <pane ySplit="5" topLeftCell="A6" activePane="bottomLeft" state="frozen"/>
      <selection pane="bottomLeft" activeCell="AW42" sqref="AW42"/>
    </sheetView>
  </sheetViews>
  <sheetFormatPr baseColWidth="10" defaultColWidth="8.83203125" defaultRowHeight="13" x14ac:dyDescent="0.15"/>
  <cols>
    <col min="1" max="1" width="5.5" customWidth="1"/>
    <col min="2" max="2" width="4.33203125" style="91" customWidth="1"/>
    <col min="3" max="3" width="7.33203125" style="91" customWidth="1"/>
    <col min="4" max="4" width="6.1640625" style="91" customWidth="1"/>
    <col min="5" max="5" width="4.33203125" style="96" customWidth="1"/>
    <col min="6" max="6" width="4.1640625" style="91" customWidth="1"/>
    <col min="7" max="7" width="5" style="92" customWidth="1"/>
    <col min="8" max="8" width="0.83203125" style="91" customWidth="1"/>
    <col min="9" max="9" width="5" style="93" customWidth="1"/>
    <col min="10" max="10" width="6.1640625" style="94" customWidth="1"/>
    <col min="11" max="11" width="4.6640625" style="93" customWidth="1"/>
    <col min="12" max="12" width="7.33203125" style="95" customWidth="1"/>
    <col min="13" max="13" width="4.6640625" style="93" customWidth="1"/>
    <col min="14" max="14" width="6.1640625" style="95" customWidth="1"/>
    <col min="15" max="16" width="4.6640625" style="93" customWidth="1"/>
    <col min="17" max="17" width="0.83203125" style="93" customWidth="1"/>
    <col min="18" max="18" width="5.5" style="96" customWidth="1"/>
    <col min="19" max="19" width="3.83203125" style="96" customWidth="1"/>
    <col min="20" max="20" width="6" style="91" customWidth="1"/>
    <col min="21" max="21" width="4" style="91" customWidth="1"/>
    <col min="22" max="22" width="6" style="90" customWidth="1"/>
    <col min="23" max="23" width="4" style="90" customWidth="1"/>
    <col min="24" max="24" width="0.83203125" style="96" customWidth="1"/>
    <col min="25" max="25" width="8.6640625" customWidth="1"/>
    <col min="26" max="33" width="8.6640625" style="97" customWidth="1"/>
    <col min="34" max="34" width="0.83203125" style="97" customWidth="1"/>
    <col min="35" max="38" width="8.6640625" style="97" customWidth="1"/>
    <col min="39" max="39" width="8.6640625" customWidth="1"/>
    <col min="40" max="40" width="0.83203125" customWidth="1"/>
    <col min="41" max="45" width="8.83203125" customWidth="1"/>
    <col min="46" max="46" width="0.83203125" style="97" customWidth="1"/>
    <col min="47" max="51" width="8.83203125" customWidth="1"/>
    <col min="52" max="52" width="0.83203125" style="97" customWidth="1"/>
    <col min="53" max="53" width="5.5" customWidth="1"/>
    <col min="54" max="54" width="4.6640625" customWidth="1"/>
    <col min="55" max="55" width="4.33203125" style="91" customWidth="1"/>
  </cols>
  <sheetData>
    <row r="1" spans="1:79" ht="16" x14ac:dyDescent="0.2">
      <c r="A1" s="89" t="s">
        <v>495</v>
      </c>
      <c r="BA1" s="89"/>
    </row>
    <row r="2" spans="1:79" ht="16" x14ac:dyDescent="0.2">
      <c r="A2" s="89"/>
      <c r="B2" s="326" t="s">
        <v>471</v>
      </c>
      <c r="C2" s="326"/>
      <c r="D2" s="326"/>
      <c r="E2" s="326"/>
      <c r="F2" s="326"/>
      <c r="G2" s="326"/>
      <c r="I2" s="794" t="s">
        <v>470</v>
      </c>
      <c r="J2" s="794"/>
      <c r="K2" s="794"/>
      <c r="L2" s="794"/>
      <c r="M2" s="794"/>
      <c r="N2" s="794"/>
      <c r="O2" s="794"/>
      <c r="P2" s="794"/>
      <c r="R2" s="795" t="s">
        <v>243</v>
      </c>
      <c r="S2" s="795"/>
      <c r="T2" s="795"/>
      <c r="U2" s="795"/>
      <c r="V2" s="795"/>
      <c r="W2" s="795"/>
      <c r="Y2" s="794" t="s">
        <v>529</v>
      </c>
      <c r="Z2" s="794"/>
      <c r="AA2" s="794"/>
      <c r="AB2" s="794"/>
      <c r="AC2" s="794"/>
      <c r="AD2" s="794"/>
      <c r="AE2" s="794"/>
      <c r="AF2" s="794"/>
      <c r="AG2" s="794"/>
      <c r="AI2" s="794" t="s">
        <v>529</v>
      </c>
      <c r="AJ2" s="794"/>
      <c r="AK2" s="794"/>
      <c r="AL2" s="794"/>
      <c r="AM2" s="794"/>
      <c r="AN2" s="794"/>
      <c r="AO2" s="794"/>
      <c r="AP2" s="794"/>
      <c r="AQ2" s="794"/>
      <c r="AR2" s="794"/>
      <c r="AS2" s="794"/>
      <c r="AU2" s="794" t="s">
        <v>529</v>
      </c>
      <c r="AV2" s="794"/>
      <c r="AW2" s="794"/>
      <c r="AX2" s="794"/>
      <c r="AY2" s="794"/>
      <c r="BA2" s="677"/>
      <c r="BB2" s="677"/>
      <c r="BC2" s="677"/>
    </row>
    <row r="3" spans="1:79" s="110" customFormat="1" ht="15.75" customHeight="1" x14ac:dyDescent="0.15">
      <c r="A3" s="98"/>
      <c r="B3" s="99" t="s">
        <v>221</v>
      </c>
      <c r="C3" s="186" t="s">
        <v>241</v>
      </c>
      <c r="D3" s="98" t="s">
        <v>528</v>
      </c>
      <c r="E3" s="100" t="s">
        <v>222</v>
      </c>
      <c r="F3" s="101" t="s">
        <v>231</v>
      </c>
      <c r="G3" s="102" t="s">
        <v>232</v>
      </c>
      <c r="H3" s="101"/>
      <c r="I3" s="103" t="s">
        <v>233</v>
      </c>
      <c r="J3" s="104" t="s">
        <v>234</v>
      </c>
      <c r="K3" s="106"/>
      <c r="L3" s="105" t="s">
        <v>234</v>
      </c>
      <c r="M3" s="193"/>
      <c r="N3" s="105" t="s">
        <v>232</v>
      </c>
      <c r="O3" s="106"/>
      <c r="P3" s="106" t="s">
        <v>223</v>
      </c>
      <c r="Q3" s="101"/>
      <c r="R3" s="107" t="s">
        <v>234</v>
      </c>
      <c r="S3" s="100"/>
      <c r="T3" s="108" t="s">
        <v>234</v>
      </c>
      <c r="U3" s="107"/>
      <c r="V3" s="108" t="s">
        <v>232</v>
      </c>
      <c r="W3" s="108"/>
      <c r="X3" s="109"/>
      <c r="Y3" s="104" t="s">
        <v>530</v>
      </c>
      <c r="Z3" s="101"/>
      <c r="AA3" s="105" t="s">
        <v>234</v>
      </c>
      <c r="AB3" s="99"/>
      <c r="AC3" s="105" t="s">
        <v>341</v>
      </c>
      <c r="AD3" s="101"/>
      <c r="AE3" s="106" t="s">
        <v>342</v>
      </c>
      <c r="AF3" s="106" t="s">
        <v>342</v>
      </c>
      <c r="AG3" s="106" t="s">
        <v>342</v>
      </c>
      <c r="AH3" s="111"/>
      <c r="AI3" s="105" t="s">
        <v>530</v>
      </c>
      <c r="AJ3" s="99"/>
      <c r="AK3" s="105" t="s">
        <v>232</v>
      </c>
      <c r="AL3" s="101"/>
      <c r="AM3" s="106" t="s">
        <v>342</v>
      </c>
      <c r="AN3" s="112"/>
      <c r="AO3" s="105" t="s">
        <v>351</v>
      </c>
      <c r="AP3" s="99"/>
      <c r="AQ3" s="105" t="s">
        <v>234</v>
      </c>
      <c r="AR3" s="101"/>
      <c r="AS3" s="106" t="s">
        <v>342</v>
      </c>
      <c r="AT3" s="111"/>
      <c r="AU3" s="105" t="s">
        <v>232</v>
      </c>
      <c r="AV3" s="101"/>
      <c r="AW3" s="105" t="s">
        <v>234</v>
      </c>
      <c r="AX3" s="99"/>
      <c r="AY3" s="106" t="s">
        <v>342</v>
      </c>
      <c r="AZ3" s="111"/>
      <c r="BA3" s="98" t="s">
        <v>346</v>
      </c>
      <c r="BB3" s="98" t="s">
        <v>224</v>
      </c>
      <c r="BC3" s="101" t="s">
        <v>240</v>
      </c>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row>
    <row r="4" spans="1:79" s="125" customFormat="1" ht="14.25" customHeight="1" x14ac:dyDescent="0.15">
      <c r="A4" s="113" t="s">
        <v>135</v>
      </c>
      <c r="B4" s="114" t="s">
        <v>224</v>
      </c>
      <c r="C4" s="114" t="s">
        <v>353</v>
      </c>
      <c r="D4" s="186" t="s">
        <v>241</v>
      </c>
      <c r="E4" s="115" t="s">
        <v>231</v>
      </c>
      <c r="F4" s="114" t="s">
        <v>225</v>
      </c>
      <c r="G4" s="116" t="s">
        <v>235</v>
      </c>
      <c r="H4" s="114"/>
      <c r="I4" s="117" t="s">
        <v>236</v>
      </c>
      <c r="J4" s="118" t="s">
        <v>236</v>
      </c>
      <c r="K4" s="120" t="s">
        <v>516</v>
      </c>
      <c r="L4" s="119" t="s">
        <v>237</v>
      </c>
      <c r="M4" s="120" t="s">
        <v>516</v>
      </c>
      <c r="N4" s="119" t="s">
        <v>238</v>
      </c>
      <c r="O4" s="120" t="s">
        <v>516</v>
      </c>
      <c r="P4" s="120" t="s">
        <v>517</v>
      </c>
      <c r="Q4" s="114"/>
      <c r="R4" s="121" t="s">
        <v>236</v>
      </c>
      <c r="S4" s="122" t="s">
        <v>518</v>
      </c>
      <c r="T4" s="123" t="s">
        <v>237</v>
      </c>
      <c r="U4" s="114" t="s">
        <v>518</v>
      </c>
      <c r="V4" s="123" t="s">
        <v>238</v>
      </c>
      <c r="W4" s="114" t="s">
        <v>518</v>
      </c>
      <c r="X4" s="124"/>
      <c r="Y4" s="118" t="s">
        <v>236</v>
      </c>
      <c r="Z4" s="114" t="s">
        <v>516</v>
      </c>
      <c r="AA4" s="118" t="s">
        <v>236</v>
      </c>
      <c r="AB4" s="114" t="s">
        <v>516</v>
      </c>
      <c r="AC4" s="118" t="s">
        <v>236</v>
      </c>
      <c r="AD4" s="114" t="s">
        <v>516</v>
      </c>
      <c r="AE4" s="120" t="s">
        <v>343</v>
      </c>
      <c r="AF4" s="120" t="s">
        <v>344</v>
      </c>
      <c r="AG4" s="120" t="s">
        <v>345</v>
      </c>
      <c r="AH4" s="126"/>
      <c r="AI4" s="118" t="s">
        <v>235</v>
      </c>
      <c r="AJ4" s="114" t="s">
        <v>516</v>
      </c>
      <c r="AK4" s="118" t="s">
        <v>235</v>
      </c>
      <c r="AL4" s="114" t="s">
        <v>516</v>
      </c>
      <c r="AM4" s="120" t="s">
        <v>350</v>
      </c>
      <c r="AN4" s="127"/>
      <c r="AO4" s="118" t="s">
        <v>235</v>
      </c>
      <c r="AP4" s="114" t="s">
        <v>516</v>
      </c>
      <c r="AQ4" s="118" t="s">
        <v>235</v>
      </c>
      <c r="AR4" s="114" t="s">
        <v>516</v>
      </c>
      <c r="AS4" s="120" t="s">
        <v>352</v>
      </c>
      <c r="AT4" s="126"/>
      <c r="AU4" s="118" t="s">
        <v>235</v>
      </c>
      <c r="AV4" s="114" t="s">
        <v>516</v>
      </c>
      <c r="AW4" s="118" t="s">
        <v>235</v>
      </c>
      <c r="AX4" s="114" t="s">
        <v>516</v>
      </c>
      <c r="AY4" s="120" t="s">
        <v>554</v>
      </c>
      <c r="AZ4" s="126"/>
      <c r="BA4" s="113" t="s">
        <v>347</v>
      </c>
      <c r="BB4" s="113" t="s">
        <v>239</v>
      </c>
      <c r="BC4" s="114" t="s">
        <v>239</v>
      </c>
      <c r="BD4" s="127"/>
      <c r="BE4" s="127"/>
      <c r="BF4" s="127"/>
      <c r="BG4" s="127"/>
      <c r="BH4" s="127"/>
      <c r="BI4" s="127"/>
      <c r="BJ4" s="127"/>
      <c r="BK4" s="127"/>
      <c r="BL4" s="127"/>
      <c r="BM4" s="127"/>
      <c r="BN4" s="127"/>
      <c r="BO4" s="127"/>
      <c r="BP4" s="127"/>
      <c r="BQ4" s="127"/>
      <c r="BR4" s="127"/>
      <c r="BS4" s="127"/>
      <c r="BT4" s="127"/>
      <c r="BU4" s="127"/>
      <c r="BV4" s="127"/>
      <c r="BW4" s="127"/>
      <c r="BX4" s="127"/>
      <c r="BY4" s="127"/>
      <c r="BZ4" s="127"/>
      <c r="CA4" s="127"/>
    </row>
    <row r="5" spans="1:79" s="110" customFormat="1" ht="11" customHeight="1" x14ac:dyDescent="0.15">
      <c r="A5" s="128" t="s">
        <v>519</v>
      </c>
      <c r="B5" s="130" t="s">
        <v>520</v>
      </c>
      <c r="C5" s="130" t="s">
        <v>521</v>
      </c>
      <c r="D5" s="130" t="s">
        <v>521</v>
      </c>
      <c r="E5" s="130" t="s">
        <v>521</v>
      </c>
      <c r="F5" s="130" t="s">
        <v>521</v>
      </c>
      <c r="G5" s="131" t="s">
        <v>522</v>
      </c>
      <c r="H5" s="129"/>
      <c r="I5" s="132" t="s">
        <v>523</v>
      </c>
      <c r="J5" s="132" t="s">
        <v>523</v>
      </c>
      <c r="K5" s="132" t="s">
        <v>524</v>
      </c>
      <c r="L5" s="132" t="s">
        <v>523</v>
      </c>
      <c r="M5" s="132" t="s">
        <v>524</v>
      </c>
      <c r="N5" s="132" t="s">
        <v>523</v>
      </c>
      <c r="O5" s="132" t="s">
        <v>524</v>
      </c>
      <c r="P5" s="132"/>
      <c r="Q5" s="129"/>
      <c r="R5" s="129" t="s">
        <v>525</v>
      </c>
      <c r="S5" s="132" t="s">
        <v>524</v>
      </c>
      <c r="T5" s="129" t="s">
        <v>525</v>
      </c>
      <c r="U5" s="132" t="s">
        <v>524</v>
      </c>
      <c r="V5" s="129" t="s">
        <v>525</v>
      </c>
      <c r="W5" s="132" t="s">
        <v>524</v>
      </c>
      <c r="X5" s="130"/>
      <c r="Y5" s="133" t="s">
        <v>230</v>
      </c>
      <c r="Z5" s="132" t="s">
        <v>524</v>
      </c>
      <c r="AA5" s="133" t="s">
        <v>230</v>
      </c>
      <c r="AB5" s="132" t="s">
        <v>524</v>
      </c>
      <c r="AC5" s="133" t="s">
        <v>230</v>
      </c>
      <c r="AD5" s="132" t="s">
        <v>524</v>
      </c>
      <c r="AE5" s="132"/>
      <c r="AF5" s="132"/>
      <c r="AG5" s="132"/>
      <c r="AH5" s="111"/>
      <c r="AI5" s="133" t="s">
        <v>230</v>
      </c>
      <c r="AJ5" s="132" t="s">
        <v>524</v>
      </c>
      <c r="AK5" s="133" t="s">
        <v>230</v>
      </c>
      <c r="AL5" s="132" t="s">
        <v>524</v>
      </c>
      <c r="AM5" s="132"/>
      <c r="AN5" s="112"/>
      <c r="AO5" s="133" t="s">
        <v>230</v>
      </c>
      <c r="AP5" s="132" t="s">
        <v>524</v>
      </c>
      <c r="AQ5" s="133" t="s">
        <v>230</v>
      </c>
      <c r="AR5" s="132" t="s">
        <v>524</v>
      </c>
      <c r="AS5" s="132"/>
      <c r="AT5" s="111"/>
      <c r="AU5" s="133" t="s">
        <v>230</v>
      </c>
      <c r="AV5" s="132" t="s">
        <v>524</v>
      </c>
      <c r="AW5" s="133" t="s">
        <v>230</v>
      </c>
      <c r="AX5" s="132" t="s">
        <v>524</v>
      </c>
      <c r="AY5" s="132"/>
      <c r="AZ5" s="111"/>
      <c r="BA5" s="128" t="s">
        <v>201</v>
      </c>
      <c r="BB5" s="130" t="s">
        <v>77</v>
      </c>
      <c r="BC5" s="130" t="s">
        <v>77</v>
      </c>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row>
    <row r="6" spans="1:79" s="110" customFormat="1" ht="3.75" customHeight="1" x14ac:dyDescent="0.15">
      <c r="A6" s="98"/>
      <c r="G6" s="134"/>
      <c r="I6" s="135"/>
      <c r="J6" s="136"/>
      <c r="K6" s="106"/>
      <c r="L6" s="137"/>
      <c r="M6" s="194"/>
      <c r="N6" s="137"/>
      <c r="O6" s="146"/>
      <c r="P6" s="106"/>
      <c r="Q6" s="140"/>
      <c r="R6" s="115"/>
      <c r="S6" s="115"/>
      <c r="T6" s="101"/>
      <c r="U6" s="141"/>
      <c r="V6" s="101"/>
      <c r="W6" s="101"/>
      <c r="X6" s="115"/>
      <c r="Z6" s="111"/>
      <c r="AA6" s="111"/>
      <c r="AB6" s="111"/>
      <c r="AC6" s="111"/>
      <c r="AD6" s="111"/>
      <c r="AE6" s="111"/>
      <c r="AF6" s="111"/>
      <c r="AG6" s="111"/>
      <c r="AH6" s="111"/>
      <c r="AI6" s="111"/>
      <c r="AJ6" s="111"/>
      <c r="AK6" s="111"/>
      <c r="AL6" s="111"/>
      <c r="AM6" s="112"/>
      <c r="AN6" s="112"/>
      <c r="AO6" s="112"/>
      <c r="AP6" s="112"/>
      <c r="AQ6" s="112"/>
      <c r="AR6" s="112"/>
      <c r="AS6" s="112"/>
      <c r="AT6" s="111"/>
      <c r="AU6" s="112"/>
      <c r="AV6" s="112"/>
      <c r="AW6" s="112"/>
      <c r="AX6" s="112"/>
      <c r="AY6" s="112"/>
      <c r="AZ6" s="111"/>
      <c r="BA6" s="98"/>
      <c r="BB6" s="98"/>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row>
    <row r="7" spans="1:79" s="151" customFormat="1" ht="12" x14ac:dyDescent="0.15">
      <c r="A7" s="142" t="str">
        <f>'Raw Data Input'!E1</f>
        <v>sample name</v>
      </c>
      <c r="B7" s="143"/>
      <c r="C7" s="143"/>
      <c r="D7" s="143"/>
      <c r="E7" s="144"/>
      <c r="F7" s="138"/>
      <c r="G7" s="145"/>
      <c r="H7" s="138"/>
      <c r="I7" s="146"/>
      <c r="J7" s="147"/>
      <c r="K7" s="146"/>
      <c r="L7" s="148"/>
      <c r="M7" s="146"/>
      <c r="N7" s="148"/>
      <c r="O7" s="146"/>
      <c r="P7" s="146"/>
      <c r="Q7" s="149"/>
      <c r="R7" s="150"/>
      <c r="S7" s="150"/>
      <c r="T7" s="139"/>
      <c r="U7" s="139"/>
      <c r="V7" s="139"/>
      <c r="W7" s="139"/>
      <c r="X7" s="150"/>
      <c r="AH7" s="143"/>
      <c r="AI7" s="152"/>
      <c r="AJ7" s="138"/>
      <c r="AK7" s="148"/>
      <c r="AL7" s="149"/>
      <c r="AT7" s="143"/>
      <c r="AZ7" s="143"/>
      <c r="BA7" s="142"/>
      <c r="BB7" s="142"/>
      <c r="BC7" s="143"/>
    </row>
    <row r="8" spans="1:79" s="151" customFormat="1" ht="12" customHeight="1" x14ac:dyDescent="0.15">
      <c r="A8" s="151" t="str">
        <f>'Raw Data Input'!A51</f>
        <v>15WZ1-2 t1</v>
      </c>
      <c r="B8" s="146">
        <f>'Data Reduction Engine'!$C55</f>
        <v>6.3415895844257955E-2</v>
      </c>
      <c r="C8" s="187">
        <f>'Data Reduction Engine'!$C62*10000000000000</f>
        <v>0.17052622980575941</v>
      </c>
      <c r="D8" s="197">
        <f>'Data Reduction Engine'!$C64</f>
        <v>0.70244204226253848</v>
      </c>
      <c r="E8" s="145">
        <f>'Data Reduction Engine'!$C66</f>
        <v>0.63189820541000585</v>
      </c>
      <c r="F8" s="139">
        <f>'Raw Data Input'!H51</f>
        <v>5.9430559651510286</v>
      </c>
      <c r="G8" s="145">
        <f>'Data Reduction Engine'!$C65</f>
        <v>62.256771868964471</v>
      </c>
      <c r="H8" s="139"/>
      <c r="I8" s="146">
        <f>'Data Reduction Engine'!$C56</f>
        <v>2.0304953428060896E-2</v>
      </c>
      <c r="J8" s="148">
        <f>IF('Raw Data Input'!AT$56="off",'Data Reduction Engine'!C$77,'Data Reduction Engine'!C$90)</f>
        <v>4.8281919269647103E-2</v>
      </c>
      <c r="K8" s="146">
        <f>'Data Reduction Engine'!$C78</f>
        <v>2.7582586696861684</v>
      </c>
      <c r="L8" s="148">
        <f>'Data Reduction Engine'!$C69</f>
        <v>8.5755216260992764E-2</v>
      </c>
      <c r="M8" s="146">
        <f>'Data Reduction Engine'!$C70</f>
        <v>2.8139393672545783</v>
      </c>
      <c r="N8" s="148">
        <f>IF('Raw Data Input'!AT$56="off",'Data Reduction Engine'!C$71,'Data Reduction Engine'!C$84)</f>
        <v>1.2881746434560566E-2</v>
      </c>
      <c r="O8" s="146">
        <f>'Data Reduction Engine'!$C85</f>
        <v>0.49484964628897876</v>
      </c>
      <c r="P8" s="146">
        <f>'Data Reduction Engine'!$C73</f>
        <v>0.19931944873939728</v>
      </c>
      <c r="Q8" s="149"/>
      <c r="R8" s="139">
        <f>'Raw Data Input'!B51</f>
        <v>113.10756206512451</v>
      </c>
      <c r="S8" s="139">
        <f>'Raw Data Input'!C51</f>
        <v>65.057778159108707</v>
      </c>
      <c r="T8" s="139">
        <f>'Raw Data Input'!D51</f>
        <v>83.54144967673453</v>
      </c>
      <c r="U8" s="139">
        <f>'Raw Data Input'!E51</f>
        <v>2.2566970857956354</v>
      </c>
      <c r="V8" s="146">
        <f>'Raw Data Input'!F51</f>
        <v>82.510765220932356</v>
      </c>
      <c r="W8" s="146">
        <f>'Raw Data Input'!G51</f>
        <v>0.40570230137622021</v>
      </c>
      <c r="X8" s="150"/>
      <c r="Y8" s="148">
        <f>'Data Reduction Engine'!$C107</f>
        <v>55.976373603294576</v>
      </c>
      <c r="Z8" s="148">
        <f>'Data Reduction Engine'!$C108</f>
        <v>1.2747134447694701</v>
      </c>
      <c r="AA8" s="148">
        <f>'Data Reduction Engine'!$C109</f>
        <v>0.27010460996670904</v>
      </c>
      <c r="AB8" s="148">
        <f>'Data Reduction Engine'!$C110</f>
        <v>2.7856205554958189</v>
      </c>
      <c r="AC8" s="148">
        <f>'Data Reduction Engine'!$C111</f>
        <v>1.5060786866772121E-2</v>
      </c>
      <c r="AD8" s="148">
        <f>'Data Reduction Engine'!$C112</f>
        <v>3.417892322803572</v>
      </c>
      <c r="AE8" s="148">
        <f>'Data Reduction Engine'!$C113</f>
        <v>-0.99904843063797466</v>
      </c>
      <c r="AF8" s="148">
        <f>'Data Reduction Engine'!$C114</f>
        <v>-0.99406290364166017</v>
      </c>
      <c r="AG8" s="148">
        <f>'Data Reduction Engine'!$C115</f>
        <v>0.99625949622711985</v>
      </c>
      <c r="AH8" s="143"/>
      <c r="AI8" s="148">
        <f>'Data Reduction Engine'!$C95</f>
        <v>3716.6964846167843</v>
      </c>
      <c r="AJ8" s="148">
        <f>'Data Reduction Engine'!$C96</f>
        <v>4.6870902500016882</v>
      </c>
      <c r="AK8" s="148">
        <f>'Data Reduction Engine'!$C97</f>
        <v>66.397593223117127</v>
      </c>
      <c r="AL8" s="148">
        <f>'Data Reduction Engine'!$C98</f>
        <v>3.417892322803572</v>
      </c>
      <c r="AM8" s="148">
        <f>'Data Reduction Engine'!$C99</f>
        <v>0.99956207820416643</v>
      </c>
      <c r="AO8" s="148">
        <f>'Data Reduction Engine'!$C101</f>
        <v>26.956023242071254</v>
      </c>
      <c r="AP8" s="148">
        <f>'Data Reduction Engine'!$C102</f>
        <v>4.6870902500016882</v>
      </c>
      <c r="AQ8" s="148">
        <f>'Data Reduction Engine'!$C103</f>
        <v>17.934296020258255</v>
      </c>
      <c r="AR8" s="148">
        <f>'Data Reduction Engine'!$C104</f>
        <v>0.68628994953862321</v>
      </c>
      <c r="AS8" s="148">
        <f>'Data Reduction Engine'!$C105</f>
        <v>0.92645398637894893</v>
      </c>
      <c r="AT8" s="143"/>
      <c r="AU8" s="148">
        <f>AK8</f>
        <v>66.397593223117127</v>
      </c>
      <c r="AV8" s="148">
        <f>AL8</f>
        <v>3.417892322803572</v>
      </c>
      <c r="AW8" s="148">
        <f>AQ8</f>
        <v>17.934296020258255</v>
      </c>
      <c r="AX8" s="148">
        <f>AR8</f>
        <v>0.68628994953862321</v>
      </c>
      <c r="AY8" s="148">
        <f>'Data Reduction Engine'!$C116</f>
        <v>0.93647210182440277</v>
      </c>
      <c r="AZ8" s="143"/>
      <c r="BA8" s="146">
        <f>'Data Reduction Engine'!$C6</f>
        <v>0.01</v>
      </c>
      <c r="BB8" s="145">
        <f>'Data Reduction Engine'!$C52</f>
        <v>31.771654003062505</v>
      </c>
      <c r="BC8" s="150">
        <f>'Data Reduction Engine'!$C58</f>
        <v>0.9697428534533864</v>
      </c>
    </row>
    <row r="9" spans="1:79" s="151" customFormat="1" ht="12" customHeight="1" x14ac:dyDescent="0.15">
      <c r="A9" s="151" t="str">
        <f>'Raw Data Input'!A52</f>
        <v>15WZ1-2 t2</v>
      </c>
      <c r="B9" s="146">
        <f>'Data Reduction Engine'!$D55</f>
        <v>0.19118354897279011</v>
      </c>
      <c r="C9" s="187">
        <f>'Data Reduction Engine'!$D62*10000000000000</f>
        <v>1.0511033365419187E-2</v>
      </c>
      <c r="D9" s="197">
        <f>'Data Reduction Engine'!$D64</f>
        <v>0.17090280627033685</v>
      </c>
      <c r="E9" s="145">
        <f>'Data Reduction Engine'!$D66</f>
        <v>5.5706254738876054E-2</v>
      </c>
      <c r="F9" s="139">
        <f>'Raw Data Input'!H52</f>
        <v>4.1966562749250818</v>
      </c>
      <c r="G9" s="145">
        <f>'Data Reduction Engine'!$D65</f>
        <v>22.320935952340431</v>
      </c>
      <c r="H9" s="139"/>
      <c r="I9" s="146">
        <f>'Data Reduction Engine'!$D56</f>
        <v>6.1187789237807044E-2</v>
      </c>
      <c r="J9" s="148">
        <f>IF('Raw Data Input'!AT$56="off",'Data Reduction Engine'!D$77,'Data Reduction Engine'!D$90)</f>
        <v>1.7815838496368263E-2</v>
      </c>
      <c r="K9" s="146">
        <f>'Data Reduction Engine'!$D78</f>
        <v>479.39632873018121</v>
      </c>
      <c r="L9" s="148">
        <f>'Data Reduction Engine'!$D69</f>
        <v>3.4245085214318446E-2</v>
      </c>
      <c r="M9" s="146">
        <f>'Data Reduction Engine'!$D70</f>
        <v>480.02620624094737</v>
      </c>
      <c r="N9" s="148">
        <f>IF('Raw Data Input'!AT$56="off",'Data Reduction Engine'!D$71,'Data Reduction Engine'!D$84)</f>
        <v>1.3940896708129098E-2</v>
      </c>
      <c r="O9" s="146">
        <f>'Data Reduction Engine'!$D85</f>
        <v>5.8509732979445088</v>
      </c>
      <c r="P9" s="146">
        <f>'Data Reduction Engine'!$D73</f>
        <v>0.11357923781939609</v>
      </c>
      <c r="Q9" s="149"/>
      <c r="R9" s="139">
        <f>'Raw Data Input'!B52</f>
        <v>-3179.1824102401733</v>
      </c>
      <c r="S9" s="139">
        <f>'Raw Data Input'!C52</f>
        <v>24138.206999805469</v>
      </c>
      <c r="T9" s="139">
        <f>'Raw Data Input'!D52</f>
        <v>34.189749017001759</v>
      </c>
      <c r="U9" s="139">
        <f>'Raw Data Input'!E52</f>
        <v>161.38740698084959</v>
      </c>
      <c r="V9" s="146">
        <f>'Raw Data Input'!F52</f>
        <v>89.248130218423114</v>
      </c>
      <c r="W9" s="146">
        <f>'Raw Data Input'!G52</f>
        <v>5.1859030164977256</v>
      </c>
      <c r="X9" s="150"/>
      <c r="Y9" s="148">
        <f>'Data Reduction Engine'!$D107</f>
        <v>13.603515882039325</v>
      </c>
      <c r="Z9" s="148">
        <f>'Data Reduction Engine'!$D108</f>
        <v>5.4397339219932475</v>
      </c>
      <c r="AA9" s="148">
        <f>'Data Reduction Engine'!$D109</f>
        <v>0.68526523649517934</v>
      </c>
      <c r="AB9" s="148">
        <f>'Data Reduction Engine'!$D110</f>
        <v>1.3965194053735659</v>
      </c>
      <c r="AC9" s="148">
        <f>'Data Reduction Engine'!$D111</f>
        <v>4.3647229824080647E-2</v>
      </c>
      <c r="AD9" s="148">
        <f>'Data Reduction Engine'!$D112</f>
        <v>1.572701577917508</v>
      </c>
      <c r="AE9" s="148">
        <f>'Data Reduction Engine'!$D113</f>
        <v>-0.99689641679488561</v>
      </c>
      <c r="AF9" s="148">
        <f>'Data Reduction Engine'!$D114</f>
        <v>-0.92885760396164629</v>
      </c>
      <c r="AG9" s="148">
        <f>'Data Reduction Engine'!$D115</f>
        <v>0.92472370313869801</v>
      </c>
      <c r="AH9" s="143"/>
      <c r="AI9" s="148">
        <f>'Data Reduction Engine'!$D95</f>
        <v>311.66962798940608</v>
      </c>
      <c r="AJ9" s="148">
        <f>'Data Reduction Engine'!$D96</f>
        <v>6.9250988533405584</v>
      </c>
      <c r="AK9" s="148">
        <f>'Data Reduction Engine'!$D97</f>
        <v>22.910961452318542</v>
      </c>
      <c r="AL9" s="148">
        <f>'Data Reduction Engine'!$D98</f>
        <v>1.572701577917508</v>
      </c>
      <c r="AM9" s="148">
        <f>'Data Reduction Engine'!$D99</f>
        <v>0.95672855149107894</v>
      </c>
      <c r="AO9" s="148">
        <f>'Data Reduction Engine'!$D101</f>
        <v>2.2604411661546715</v>
      </c>
      <c r="AP9" s="148">
        <f>'Data Reduction Engine'!$D102</f>
        <v>6.9250988533405584</v>
      </c>
      <c r="AQ9" s="148">
        <f>'Data Reduction Engine'!$D103</f>
        <v>15.700085417955005</v>
      </c>
      <c r="AR9" s="148">
        <f>'Data Reduction Engine'!$D104</f>
        <v>0.60141505214790081</v>
      </c>
      <c r="AS9" s="148">
        <f>'Data Reduction Engine'!$D105</f>
        <v>0.19586361789008391</v>
      </c>
      <c r="AT9" s="143"/>
      <c r="AU9" s="148">
        <f t="shared" ref="AU9:AU37" si="0">AK9</f>
        <v>22.910961452318542</v>
      </c>
      <c r="AV9" s="148">
        <f t="shared" ref="AV9:AV37" si="1">AL9</f>
        <v>1.572701577917508</v>
      </c>
      <c r="AW9" s="148">
        <f t="shared" ref="AW9:AW37" si="2">AQ9</f>
        <v>15.700085417955005</v>
      </c>
      <c r="AX9" s="148">
        <f t="shared" ref="AX9:AX37" si="3">AR9</f>
        <v>0.60141505214790081</v>
      </c>
      <c r="AY9" s="148">
        <f>'Data Reduction Engine'!$D116</f>
        <v>0.46774183797154506</v>
      </c>
      <c r="AZ9" s="143"/>
      <c r="BA9" s="146">
        <f>'Data Reduction Engine'!$D6</f>
        <v>0.01</v>
      </c>
      <c r="BB9" s="145">
        <f>'Data Reduction Engine'!$D52</f>
        <v>1.8094370594894573</v>
      </c>
      <c r="BC9" s="150">
        <f>'Data Reduction Engine'!$D58</f>
        <v>0.44299820594420136</v>
      </c>
    </row>
    <row r="10" spans="1:79" s="151" customFormat="1" ht="12" customHeight="1" x14ac:dyDescent="0.15">
      <c r="A10" s="151" t="str">
        <f>'Raw Data Input'!A53</f>
        <v>15WZ1-2 t3a</v>
      </c>
      <c r="B10" s="146">
        <f>'Data Reduction Engine'!$E55</f>
        <v>0.2257416469952335</v>
      </c>
      <c r="C10" s="187">
        <f>'Data Reduction Engine'!$E62*10000000000000</f>
        <v>2.1118349420422608E-2</v>
      </c>
      <c r="D10" s="197">
        <f>'Data Reduction Engine'!$E64</f>
        <v>0.21111376261999554</v>
      </c>
      <c r="E10" s="145">
        <f>'Data Reduction Engine'!$E66</f>
        <v>7.4793617538895324E-2</v>
      </c>
      <c r="F10" s="139">
        <f>'Raw Data Input'!H53</f>
        <v>6.4921129439243863</v>
      </c>
      <c r="G10" s="145">
        <f>'Data Reduction Engine'!$E65</f>
        <v>23.487310739184373</v>
      </c>
      <c r="H10" s="139"/>
      <c r="I10" s="146">
        <f>'Data Reduction Engine'!$E56</f>
        <v>7.2246679256151011E-2</v>
      </c>
      <c r="J10" s="148">
        <f>IF('Raw Data Input'!AT$56="off",'Data Reduction Engine'!E$77,'Data Reduction Engine'!E$90)</f>
        <v>4.2971107197951199E-2</v>
      </c>
      <c r="K10" s="146">
        <f>'Data Reduction Engine'!$E78</f>
        <v>44.122900467639028</v>
      </c>
      <c r="L10" s="148">
        <f>'Data Reduction Engine'!$E69</f>
        <v>8.2867943338936198E-2</v>
      </c>
      <c r="M10" s="146">
        <f>'Data Reduction Engine'!$E70</f>
        <v>44.43143196206605</v>
      </c>
      <c r="N10" s="148">
        <f>IF('Raw Data Input'!AT$56="off",'Data Reduction Engine'!E$71,'Data Reduction Engine'!E$84)</f>
        <v>1.39864900845026E-2</v>
      </c>
      <c r="O10" s="146">
        <f>'Data Reduction Engine'!$E85</f>
        <v>4.3346302452446617</v>
      </c>
      <c r="P10" s="146">
        <f>'Data Reduction Engine'!$E73</f>
        <v>0.11968877203685462</v>
      </c>
      <c r="Q10" s="149"/>
      <c r="R10" s="139">
        <f>'Raw Data Input'!B53</f>
        <v>-169.28613185882568</v>
      </c>
      <c r="S10" s="139">
        <f>'Raw Data Input'!C53</f>
        <v>1098.3644956241633</v>
      </c>
      <c r="T10" s="139">
        <f>'Raw Data Input'!D53</f>
        <v>80.837716006427286</v>
      </c>
      <c r="U10" s="139">
        <f>'Raw Data Input'!E53</f>
        <v>34.524808955067037</v>
      </c>
      <c r="V10" s="146">
        <f>'Raw Data Input'!F53</f>
        <v>89.537996403995436</v>
      </c>
      <c r="W10" s="146">
        <f>'Raw Data Input'!G53</f>
        <v>3.8543117199236301</v>
      </c>
      <c r="X10" s="150"/>
      <c r="Y10" s="148">
        <f>'Data Reduction Engine'!$E107</f>
        <v>16.076944115805521</v>
      </c>
      <c r="Z10" s="148">
        <f>'Data Reduction Engine'!$E108</f>
        <v>3.2099327438946754</v>
      </c>
      <c r="AA10" s="148">
        <f>'Data Reduction Engine'!$E109</f>
        <v>0.6619517394266472</v>
      </c>
      <c r="AB10" s="148">
        <f>'Data Reduction Engine'!$E110</f>
        <v>0.96836129540529814</v>
      </c>
      <c r="AC10" s="148">
        <f>'Data Reduction Engine'!$E111</f>
        <v>4.1752721364114224E-2</v>
      </c>
      <c r="AD10" s="148">
        <f>'Data Reduction Engine'!$E112</f>
        <v>1.0867490963235165</v>
      </c>
      <c r="AE10" s="148">
        <f>'Data Reduction Engine'!$E113</f>
        <v>-0.99551760585145865</v>
      </c>
      <c r="AF10" s="148">
        <f>'Data Reduction Engine'!$E114</f>
        <v>-0.96133087752563684</v>
      </c>
      <c r="AG10" s="148">
        <f>'Data Reduction Engine'!$E115</f>
        <v>0.952544535508829</v>
      </c>
      <c r="AH10" s="143"/>
      <c r="AI10" s="148">
        <f>'Data Reduction Engine'!$E95</f>
        <v>385.05140720296589</v>
      </c>
      <c r="AJ10" s="148">
        <f>'Data Reduction Engine'!$E96</f>
        <v>4.2651715978474902</v>
      </c>
      <c r="AK10" s="148">
        <f>'Data Reduction Engine'!$E97</f>
        <v>23.950534655675966</v>
      </c>
      <c r="AL10" s="148">
        <f>'Data Reduction Engine'!$E98</f>
        <v>1.0867490963235165</v>
      </c>
      <c r="AM10" s="148">
        <f>'Data Reduction Engine'!$E99</f>
        <v>0.97828574116826372</v>
      </c>
      <c r="AO10" s="148">
        <f>'Data Reduction Engine'!$E101</f>
        <v>2.7926559849359296</v>
      </c>
      <c r="AP10" s="148">
        <f>'Data Reduction Engine'!$E102</f>
        <v>4.2651715978474902</v>
      </c>
      <c r="AQ10" s="148">
        <f>'Data Reduction Engine'!$E103</f>
        <v>15.8540980755229</v>
      </c>
      <c r="AR10" s="148">
        <f>'Data Reduction Engine'!$E104</f>
        <v>0.33748582721793757</v>
      </c>
      <c r="AS10" s="148">
        <f>'Data Reduction Engine'!$E105</f>
        <v>0.30404648547617269</v>
      </c>
      <c r="AT10" s="143"/>
      <c r="AU10" s="148">
        <f t="shared" si="0"/>
        <v>23.950534655675966</v>
      </c>
      <c r="AV10" s="148">
        <f t="shared" si="1"/>
        <v>1.0867490963235165</v>
      </c>
      <c r="AW10" s="148">
        <f t="shared" si="2"/>
        <v>15.8540980755229</v>
      </c>
      <c r="AX10" s="148">
        <f t="shared" si="3"/>
        <v>0.33748582721793757</v>
      </c>
      <c r="AY10" s="148">
        <f>'Data Reduction Engine'!$E116</f>
        <v>0.48695922238186912</v>
      </c>
      <c r="AZ10" s="143"/>
      <c r="BA10" s="146">
        <f>'Data Reduction Engine'!$E6</f>
        <v>0.01</v>
      </c>
      <c r="BB10" s="145">
        <f>'Data Reduction Engine'!$E52</f>
        <v>3.6235865029889389</v>
      </c>
      <c r="BC10" s="150">
        <f>'Data Reduction Engine'!$E58</f>
        <v>0.69769319761317095</v>
      </c>
    </row>
    <row r="11" spans="1:79" s="151" customFormat="1" ht="12" customHeight="1" x14ac:dyDescent="0.15">
      <c r="A11" s="151" t="str">
        <f>'Raw Data Input'!A54</f>
        <v>15WZ1-2 t3b</v>
      </c>
      <c r="B11" s="146">
        <f>'Data Reduction Engine'!$F55</f>
        <v>-0.10743796629861066</v>
      </c>
      <c r="C11" s="187">
        <f>'Data Reduction Engine'!$F62*10000000000000</f>
        <v>3.0319332750591715E-2</v>
      </c>
      <c r="D11" s="197">
        <f>'Data Reduction Engine'!$F64</f>
        <v>0.10982464814919636</v>
      </c>
      <c r="E11" s="145">
        <f>'Data Reduction Engine'!$F66</f>
        <v>3.1360204946222825E-2</v>
      </c>
      <c r="F11" s="139">
        <f>'Raw Data Input'!H54</f>
        <v>20.207309093087229</v>
      </c>
      <c r="G11" s="145">
        <f>'Data Reduction Engine'!$F65</f>
        <v>20.846342425327503</v>
      </c>
      <c r="H11" s="139"/>
      <c r="I11" s="146">
        <f>'Data Reduction Engine'!$F56</f>
        <v>-3.4412101406150676E-2</v>
      </c>
      <c r="J11" s="148">
        <f>IF('Raw Data Input'!AT$56="off",'Data Reduction Engine'!F$77,'Data Reduction Engine'!F$90)</f>
        <v>4.9076664758521148E-2</v>
      </c>
      <c r="K11" s="146">
        <f>'Data Reduction Engine'!$F78</f>
        <v>52.123056410398547</v>
      </c>
      <c r="L11" s="148">
        <f>'Data Reduction Engine'!$F69</f>
        <v>8.1673200311352737E-2</v>
      </c>
      <c r="M11" s="146">
        <f>'Data Reduction Engine'!$F70</f>
        <v>52.005963489048504</v>
      </c>
      <c r="N11" s="148">
        <f>IF('Raw Data Input'!AT$56="off",'Data Reduction Engine'!F$71,'Data Reduction Engine'!F$84)</f>
        <v>1.2069888502498342E-2</v>
      </c>
      <c r="O11" s="146">
        <f>'Data Reduction Engine'!$F85</f>
        <v>9.6952733380083149</v>
      </c>
      <c r="P11" s="146">
        <f>'Data Reduction Engine'!$F73</f>
        <v>8.123992866837193E-2</v>
      </c>
      <c r="Q11" s="149"/>
      <c r="R11" s="139">
        <f>'Raw Data Input'!B54</f>
        <v>151.49533748626709</v>
      </c>
      <c r="S11" s="139">
        <f>'Raw Data Input'!C54</f>
        <v>1220.6642568465891</v>
      </c>
      <c r="T11" s="139">
        <f>'Raw Data Input'!D54</f>
        <v>79.716811513610608</v>
      </c>
      <c r="U11" s="139">
        <f>'Raw Data Input'!E54</f>
        <v>39.871866017336195</v>
      </c>
      <c r="V11" s="146">
        <f>'Raw Data Input'!F54</f>
        <v>77.34168100457083</v>
      </c>
      <c r="W11" s="146">
        <f>'Raw Data Input'!G54</f>
        <v>7.4536846998348354</v>
      </c>
      <c r="X11" s="150"/>
      <c r="Y11" s="148">
        <f>'Data Reduction Engine'!$F107</f>
        <v>9.3124682468985522</v>
      </c>
      <c r="Z11" s="148">
        <f>'Data Reduction Engine'!$F108</f>
        <v>1.122700964345178</v>
      </c>
      <c r="AA11" s="148">
        <f>'Data Reduction Engine'!$F109</f>
        <v>0.75233823057186122</v>
      </c>
      <c r="AB11" s="148">
        <f>'Data Reduction Engine'!$F110</f>
        <v>0.17642802422231113</v>
      </c>
      <c r="AC11" s="148">
        <f>'Data Reduction Engine'!$F111</f>
        <v>4.7803716292763698E-2</v>
      </c>
      <c r="AD11" s="148">
        <f>'Data Reduction Engine'!$F112</f>
        <v>0.24000829105116839</v>
      </c>
      <c r="AE11" s="148">
        <f>'Data Reduction Engine'!$F113</f>
        <v>-0.9282744711898262</v>
      </c>
      <c r="AF11" s="148">
        <f>'Data Reduction Engine'!$F114</f>
        <v>-0.70746933067163786</v>
      </c>
      <c r="AG11" s="148">
        <f>'Data Reduction Engine'!$F115</f>
        <v>0.49262649600469682</v>
      </c>
      <c r="AH11" s="143"/>
      <c r="AI11" s="148">
        <f>'Data Reduction Engine'!$F95</f>
        <v>194.80636588725278</v>
      </c>
      <c r="AJ11" s="148">
        <f>'Data Reduction Engine'!$F96</f>
        <v>1.3035824967328102</v>
      </c>
      <c r="AK11" s="148">
        <f>'Data Reduction Engine'!$F97</f>
        <v>20.918875718274968</v>
      </c>
      <c r="AL11" s="148">
        <f>'Data Reduction Engine'!$F98</f>
        <v>0.24000829105116839</v>
      </c>
      <c r="AM11" s="148">
        <f>'Data Reduction Engine'!$F99</f>
        <v>0.79341721251481856</v>
      </c>
      <c r="AO11" s="148">
        <f>'Data Reduction Engine'!$F101</f>
        <v>1.4128689141808297</v>
      </c>
      <c r="AP11" s="148">
        <f>'Data Reduction Engine'!$F102</f>
        <v>1.3035824967328102</v>
      </c>
      <c r="AQ11" s="148">
        <f>'Data Reduction Engine'!$F103</f>
        <v>15.73806994343966</v>
      </c>
      <c r="AR11" s="148">
        <f>'Data Reduction Engine'!$F104</f>
        <v>0.21682040726050186</v>
      </c>
      <c r="AS11" s="148">
        <f>'Data Reduction Engine'!$F105</f>
        <v>0.1539334008615314</v>
      </c>
      <c r="AT11" s="143"/>
      <c r="AU11" s="148">
        <f t="shared" si="0"/>
        <v>20.918875718274968</v>
      </c>
      <c r="AV11" s="148">
        <f t="shared" si="1"/>
        <v>0.24000829105116839</v>
      </c>
      <c r="AW11" s="148">
        <f t="shared" si="2"/>
        <v>15.73806994343966</v>
      </c>
      <c r="AX11" s="148">
        <f t="shared" si="3"/>
        <v>0.21682040726050186</v>
      </c>
      <c r="AY11" s="148">
        <f>'Data Reduction Engine'!$F116</f>
        <v>0.70609207692134424</v>
      </c>
      <c r="AZ11" s="143"/>
      <c r="BA11" s="146">
        <f>'Data Reduction Engine'!$F6</f>
        <v>0.01</v>
      </c>
      <c r="BB11" s="145">
        <f>'Data Reduction Engine'!$F52</f>
        <v>6.0293486880573148</v>
      </c>
      <c r="BC11" s="150">
        <f>'Data Reduction Engine'!$F58</f>
        <v>2.083864879588599</v>
      </c>
    </row>
    <row r="12" spans="1:79" s="151" customFormat="1" ht="12" customHeight="1" x14ac:dyDescent="0.15">
      <c r="A12" s="151" t="str">
        <f>'Raw Data Input'!A55</f>
        <v>15WZ1-2 t4</v>
      </c>
      <c r="B12" s="146">
        <f>'Data Reduction Engine'!$G55</f>
        <v>0.23750957270335615</v>
      </c>
      <c r="C12" s="187">
        <f>'Data Reduction Engine'!$G62*10000000000000</f>
        <v>4.6813303631697653E-2</v>
      </c>
      <c r="D12" s="197">
        <f>'Data Reduction Engine'!$G64</f>
        <v>0.17508376281766957</v>
      </c>
      <c r="E12" s="145">
        <f>'Data Reduction Engine'!$G66</f>
        <v>5.8885709660332623E-2</v>
      </c>
      <c r="F12" s="139">
        <f>'Raw Data Input'!H55</f>
        <v>18.136688609964917</v>
      </c>
      <c r="G12" s="145">
        <f>'Data Reduction Engine'!$G65</f>
        <v>22.493654754420277</v>
      </c>
      <c r="H12" s="139"/>
      <c r="I12" s="146">
        <f>'Data Reduction Engine'!$G56</f>
        <v>7.5999455297200869E-2</v>
      </c>
      <c r="J12" s="148">
        <f>IF('Raw Data Input'!AT$56="off",'Data Reduction Engine'!G$77,'Data Reduction Engine'!G$90)</f>
        <v>3.0564951225558468E-2</v>
      </c>
      <c r="K12" s="146">
        <f>'Data Reduction Engine'!$G78</f>
        <v>57.5077621378028</v>
      </c>
      <c r="L12" s="148">
        <f>'Data Reduction Engine'!$G69</f>
        <v>6.078990967494402E-2</v>
      </c>
      <c r="M12" s="146">
        <f>'Data Reduction Engine'!$G70</f>
        <v>57.90212712915865</v>
      </c>
      <c r="N12" s="148">
        <f>IF('Raw Data Input'!AT$56="off",'Data Reduction Engine'!G$71,'Data Reduction Engine'!G$84)</f>
        <v>1.4424690920665095E-2</v>
      </c>
      <c r="O12" s="146">
        <f>'Data Reduction Engine'!$G85</f>
        <v>5.6787884723004254</v>
      </c>
      <c r="P12" s="146">
        <f>'Data Reduction Engine'!$G73</f>
        <v>0.11822781349545561</v>
      </c>
      <c r="Q12" s="149"/>
      <c r="R12" s="139">
        <f>'Raw Data Input'!B55</f>
        <v>-1101.9545793533325</v>
      </c>
      <c r="S12" s="139">
        <f>'Raw Data Input'!C55</f>
        <v>1743.1117818945399</v>
      </c>
      <c r="T12" s="139">
        <f>'Raw Data Input'!D55</f>
        <v>59.921641273803388</v>
      </c>
      <c r="U12" s="139">
        <f>'Raw Data Input'!E55</f>
        <v>33.691981018354731</v>
      </c>
      <c r="V12" s="146">
        <f>'Raw Data Input'!F55</f>
        <v>92.323254299680855</v>
      </c>
      <c r="W12" s="146">
        <f>'Raw Data Input'!G55</f>
        <v>5.205477845887299</v>
      </c>
      <c r="X12" s="150"/>
      <c r="Y12" s="148">
        <f>'Data Reduction Engine'!$G107</f>
        <v>12.429206025062159</v>
      </c>
      <c r="Z12" s="148">
        <f>'Data Reduction Engine'!$G108</f>
        <v>1.1619006804041556</v>
      </c>
      <c r="AA12" s="148">
        <f>'Data Reduction Engine'!$G109</f>
        <v>0.69606685792511969</v>
      </c>
      <c r="AB12" s="148">
        <f>'Data Reduction Engine'!$G110</f>
        <v>0.28003005078290283</v>
      </c>
      <c r="AC12" s="148">
        <f>'Data Reduction Engine'!$G111</f>
        <v>4.4204138083573728E-2</v>
      </c>
      <c r="AD12" s="148">
        <f>'Data Reduction Engine'!$G112</f>
        <v>0.36661519295843903</v>
      </c>
      <c r="AE12" s="148">
        <f>'Data Reduction Engine'!$G113</f>
        <v>-0.98068466694660472</v>
      </c>
      <c r="AF12" s="148">
        <f>'Data Reduction Engine'!$G114</f>
        <v>-0.77327689894746332</v>
      </c>
      <c r="AG12" s="148">
        <f>'Data Reduction Engine'!$G115</f>
        <v>0.70079391575733041</v>
      </c>
      <c r="AH12" s="143"/>
      <c r="AI12" s="148">
        <f>'Data Reduction Engine'!$G95</f>
        <v>281.17743188574593</v>
      </c>
      <c r="AJ12" s="148">
        <f>'Data Reduction Engine'!$G96</f>
        <v>1.4639692947332559</v>
      </c>
      <c r="AK12" s="148">
        <f>'Data Reduction Engine'!$G97</f>
        <v>22.622316447147295</v>
      </c>
      <c r="AL12" s="148">
        <f>'Data Reduction Engine'!$G98</f>
        <v>0.36661519295843903</v>
      </c>
      <c r="AM12" s="148">
        <f>'Data Reduction Engine'!$G99</f>
        <v>0.86414800674956704</v>
      </c>
      <c r="AO12" s="148">
        <f>'Data Reduction Engine'!$G101</f>
        <v>2.0392909188116182</v>
      </c>
      <c r="AP12" s="148">
        <f>'Data Reduction Engine'!$G102</f>
        <v>1.4639692947332559</v>
      </c>
      <c r="AQ12" s="148">
        <f>'Data Reduction Engine'!$G103</f>
        <v>15.746644728353573</v>
      </c>
      <c r="AR12" s="148">
        <f>'Data Reduction Engine'!$G104</f>
        <v>0.26254892406838243</v>
      </c>
      <c r="AS12" s="148">
        <f>'Data Reduction Engine'!$G105</f>
        <v>0.18932979332404937</v>
      </c>
      <c r="AT12" s="143"/>
      <c r="AU12" s="148">
        <f t="shared" si="0"/>
        <v>22.622316447147295</v>
      </c>
      <c r="AV12" s="148">
        <f t="shared" si="1"/>
        <v>0.36661519295843903</v>
      </c>
      <c r="AW12" s="148">
        <f t="shared" si="2"/>
        <v>15.746644728353573</v>
      </c>
      <c r="AX12" s="148">
        <f t="shared" si="3"/>
        <v>0.26254892406838243</v>
      </c>
      <c r="AY12" s="148">
        <f>'Data Reduction Engine'!$G116</f>
        <v>0.64891462703610303</v>
      </c>
      <c r="AZ12" s="143"/>
      <c r="BA12" s="146">
        <f>'Data Reduction Engine'!$G6</f>
        <v>0.01</v>
      </c>
      <c r="BB12" s="145">
        <f>'Data Reduction Engine'!$G52</f>
        <v>7.7882060849519368</v>
      </c>
      <c r="BC12" s="150">
        <f>'Data Reduction Engine'!$G58</f>
        <v>1.920250679151897</v>
      </c>
    </row>
    <row r="13" spans="1:79" s="151" customFormat="1" ht="12" customHeight="1" x14ac:dyDescent="0.15">
      <c r="A13" s="151" t="str">
        <f>'Raw Data Input'!A56</f>
        <v>15WZ1-2 t5</v>
      </c>
      <c r="B13" s="146">
        <f>'Data Reduction Engine'!$H55</f>
        <v>0.38614475466325526</v>
      </c>
      <c r="C13" s="187">
        <f>'Data Reduction Engine'!$H62*10000000000000</f>
        <v>2.1221279135280619E-2</v>
      </c>
      <c r="D13" s="197">
        <f>'Data Reduction Engine'!$H64</f>
        <v>0.16616093860246622</v>
      </c>
      <c r="E13" s="145">
        <f>'Data Reduction Engine'!$H66</f>
        <v>5.8546869150974512E-2</v>
      </c>
      <c r="F13" s="139">
        <f>'Raw Data Input'!H56</f>
        <v>8.7593333350850884</v>
      </c>
      <c r="G13" s="145">
        <f>'Data Reduction Engine'!$H65</f>
        <v>22.233930108938583</v>
      </c>
      <c r="H13" s="139"/>
      <c r="I13" s="146">
        <f>'Data Reduction Engine'!$H56</f>
        <v>0.12353901275384173</v>
      </c>
      <c r="J13" s="148">
        <f>IF('Raw Data Input'!AT$56="off",'Data Reduction Engine'!H$77,'Data Reduction Engine'!H$90)</f>
        <v>4.8101515464455E-2</v>
      </c>
      <c r="K13" s="146">
        <f>'Data Reduction Engine'!$H78</f>
        <v>51.301496988464947</v>
      </c>
      <c r="L13" s="148">
        <f>'Data Reduction Engine'!$H69</f>
        <v>9.854767988031804E-2</v>
      </c>
      <c r="M13" s="146">
        <f>'Data Reduction Engine'!$H70</f>
        <v>51.525404768593638</v>
      </c>
      <c r="N13" s="148">
        <f>IF('Raw Data Input'!AT$56="off",'Data Reduction Engine'!H$71,'Data Reduction Engine'!H$84)</f>
        <v>1.4858890083390064E-2</v>
      </c>
      <c r="O13" s="146">
        <f>'Data Reduction Engine'!$H85</f>
        <v>5.8980615896675612</v>
      </c>
      <c r="P13" s="146">
        <f>'Data Reduction Engine'!$H73</f>
        <v>9.5132547759496894E-2</v>
      </c>
      <c r="Q13" s="149"/>
      <c r="R13" s="139">
        <f>'Raw Data Input'!B56</f>
        <v>104.26342487335205</v>
      </c>
      <c r="S13" s="139">
        <f>'Raw Data Input'!C56</f>
        <v>1212.0887995456071</v>
      </c>
      <c r="T13" s="139">
        <f>'Raw Data Input'!D56</f>
        <v>95.434854479689818</v>
      </c>
      <c r="U13" s="139">
        <f>'Raw Data Input'!E56</f>
        <v>46.933054055783359</v>
      </c>
      <c r="V13" s="146">
        <f>'Raw Data Input'!F56</f>
        <v>95.081890607950086</v>
      </c>
      <c r="W13" s="146">
        <f>'Raw Data Input'!G56</f>
        <v>5.5668333250153248</v>
      </c>
      <c r="X13" s="150"/>
      <c r="Y13" s="148">
        <f>'Data Reduction Engine'!$H107</f>
        <v>11.746882191394135</v>
      </c>
      <c r="Z13" s="148">
        <f>'Data Reduction Engine'!$H108</f>
        <v>2.5114936957709761</v>
      </c>
      <c r="AA13" s="148">
        <f>'Data Reduction Engine'!$H109</f>
        <v>0.70296429074340827</v>
      </c>
      <c r="AB13" s="148">
        <f>'Data Reduction Engine'!$H110</f>
        <v>0.56319456524116618</v>
      </c>
      <c r="AC13" s="148">
        <f>'Data Reduction Engine'!$H111</f>
        <v>4.4458987870834403E-2</v>
      </c>
      <c r="AD13" s="148">
        <f>'Data Reduction Engine'!$H112</f>
        <v>0.65382806480315836</v>
      </c>
      <c r="AE13" s="148">
        <f>'Data Reduction Engine'!$H113</f>
        <v>-0.97796370980875591</v>
      </c>
      <c r="AF13" s="148">
        <f>'Data Reduction Engine'!$H114</f>
        <v>-0.91526980559979543</v>
      </c>
      <c r="AG13" s="148">
        <f>'Data Reduction Engine'!$H115</f>
        <v>0.89956741902823489</v>
      </c>
      <c r="AH13" s="143"/>
      <c r="AI13" s="148">
        <f>'Data Reduction Engine'!$H95</f>
        <v>264.21838989052253</v>
      </c>
      <c r="AJ13" s="148">
        <f>'Data Reduction Engine'!$H96</f>
        <v>3.1210564677311798</v>
      </c>
      <c r="AK13" s="148">
        <f>'Data Reduction Engine'!$H97</f>
        <v>22.492639798847318</v>
      </c>
      <c r="AL13" s="148">
        <f>'Data Reduction Engine'!$H98</f>
        <v>0.65382806480315836</v>
      </c>
      <c r="AM13" s="148">
        <f>'Data Reduction Engine'!$H99</f>
        <v>0.94600095897748304</v>
      </c>
      <c r="AO13" s="148">
        <f>'Data Reduction Engine'!$H101</f>
        <v>1.916292354877593</v>
      </c>
      <c r="AP13" s="148">
        <f>'Data Reduction Engine'!$H102</f>
        <v>3.1210564677311798</v>
      </c>
      <c r="AQ13" s="148">
        <f>'Data Reduction Engine'!$H103</f>
        <v>15.811522583143663</v>
      </c>
      <c r="AR13" s="148">
        <f>'Data Reduction Engine'!$H104</f>
        <v>0.2866696608512192</v>
      </c>
      <c r="AS13" s="148">
        <f>'Data Reduction Engine'!$H105</f>
        <v>0.24130885421574649</v>
      </c>
      <c r="AT13" s="143"/>
      <c r="AU13" s="148">
        <f t="shared" si="0"/>
        <v>22.492639798847318</v>
      </c>
      <c r="AV13" s="148">
        <f t="shared" si="1"/>
        <v>0.65382806480315836</v>
      </c>
      <c r="AW13" s="148">
        <f t="shared" si="2"/>
        <v>15.811522583143663</v>
      </c>
      <c r="AX13" s="148">
        <f t="shared" si="3"/>
        <v>0.2866696608512192</v>
      </c>
      <c r="AY13" s="148">
        <f>'Data Reduction Engine'!$H116</f>
        <v>0.51347109038800032</v>
      </c>
      <c r="AZ13" s="143"/>
      <c r="BA13" s="146">
        <f>'Data Reduction Engine'!$H6</f>
        <v>0.01</v>
      </c>
      <c r="BB13" s="145">
        <f>'Data Reduction Engine'!$H52</f>
        <v>3.427267190562437</v>
      </c>
      <c r="BC13" s="150">
        <f>'Data Reduction Engine'!$H58</f>
        <v>0.92711472985447607</v>
      </c>
    </row>
    <row r="14" spans="1:79" s="151" customFormat="1" ht="12" customHeight="1" x14ac:dyDescent="0.15">
      <c r="A14" s="151" t="str">
        <f>'Raw Data Input'!A57</f>
        <v>15WZ1-2 t6</v>
      </c>
      <c r="B14" s="146">
        <f>'Data Reduction Engine'!$I55</f>
        <v>0.20764767420340752</v>
      </c>
      <c r="C14" s="187">
        <f>'Data Reduction Engine'!$I62*10000000000000</f>
        <v>3.278294852002079E-2</v>
      </c>
      <c r="D14" s="197">
        <f>'Data Reduction Engine'!$I64</f>
        <v>0.27549894145497361</v>
      </c>
      <c r="E14" s="145">
        <f>'Data Reduction Engine'!$I66</f>
        <v>0.10593841042518459</v>
      </c>
      <c r="F14" s="139">
        <f>'Raw Data Input'!H57</f>
        <v>7.0919969989596581</v>
      </c>
      <c r="G14" s="145">
        <f>'Data Reduction Engine'!$I65</f>
        <v>25.579414723408991</v>
      </c>
      <c r="H14" s="139"/>
      <c r="I14" s="146">
        <f>'Data Reduction Engine'!$I56</f>
        <v>6.6467902895148923E-2</v>
      </c>
      <c r="J14" s="148">
        <f>IF('Raw Data Input'!AT$56="off",'Data Reduction Engine'!I$77,'Data Reduction Engine'!I$90)</f>
        <v>4.5156059383144896E-2</v>
      </c>
      <c r="K14" s="146">
        <f>'Data Reduction Engine'!$I78</f>
        <v>27.135043209335468</v>
      </c>
      <c r="L14" s="148">
        <f>'Data Reduction Engine'!$I69</f>
        <v>8.4317655560081931E-2</v>
      </c>
      <c r="M14" s="146">
        <f>'Data Reduction Engine'!$I70</f>
        <v>27.413639067069081</v>
      </c>
      <c r="N14" s="148">
        <f>IF('Raw Data Input'!AT$56="off",'Data Reduction Engine'!I$71,'Data Reduction Engine'!I$84)</f>
        <v>1.3542573842664673E-2</v>
      </c>
      <c r="O14" s="146">
        <f>'Data Reduction Engine'!$I85</f>
        <v>3.0829705529155405</v>
      </c>
      <c r="P14" s="146">
        <f>'Data Reduction Engine'!$I73</f>
        <v>0.14610424081965501</v>
      </c>
      <c r="Q14" s="149"/>
      <c r="R14" s="139">
        <f>'Raw Data Input'!B57</f>
        <v>-47.227740287780762</v>
      </c>
      <c r="S14" s="139">
        <f>'Raw Data Input'!C57</f>
        <v>659.68845539459335</v>
      </c>
      <c r="T14" s="139">
        <f>'Raw Data Input'!D57</f>
        <v>82.196172284249613</v>
      </c>
      <c r="U14" s="139">
        <f>'Raw Data Input'!E57</f>
        <v>21.645050055354371</v>
      </c>
      <c r="V14" s="146">
        <f>'Raw Data Input'!F57</f>
        <v>86.715183105095562</v>
      </c>
      <c r="W14" s="146">
        <f>'Raw Data Input'!G57</f>
        <v>2.6555030124702115</v>
      </c>
      <c r="X14" s="150"/>
      <c r="Y14" s="148">
        <f>'Data Reduction Engine'!$I107</f>
        <v>21.449425384007391</v>
      </c>
      <c r="Z14" s="148">
        <f>'Data Reduction Engine'!$I108</f>
        <v>2.6697718342149095</v>
      </c>
      <c r="AA14" s="148">
        <f>'Data Reduction Engine'!$I109</f>
        <v>0.6102623289082908</v>
      </c>
      <c r="AB14" s="148">
        <f>'Data Reduction Engine'!$I110</f>
        <v>1.0988486725912909</v>
      </c>
      <c r="AC14" s="148">
        <f>'Data Reduction Engine'!$I111</f>
        <v>3.8222988272214944E-2</v>
      </c>
      <c r="AD14" s="148">
        <f>'Data Reduction Engine'!$I112</f>
        <v>1.2364040787685173</v>
      </c>
      <c r="AE14" s="148">
        <f>'Data Reduction Engine'!$I113</f>
        <v>-0.9979424040569983</v>
      </c>
      <c r="AF14" s="148">
        <f>'Data Reduction Engine'!$I114</f>
        <v>-0.96684973593411205</v>
      </c>
      <c r="AG14" s="148">
        <f>'Data Reduction Engine'!$I115</f>
        <v>0.96157544887981106</v>
      </c>
      <c r="AH14" s="143"/>
      <c r="AI14" s="148">
        <f>'Data Reduction Engine'!$I95</f>
        <v>561.16558002345948</v>
      </c>
      <c r="AJ14" s="148">
        <f>'Data Reduction Engine'!$I96</f>
        <v>3.878061079585235</v>
      </c>
      <c r="AK14" s="148">
        <f>'Data Reduction Engine'!$I97</f>
        <v>26.162266353385039</v>
      </c>
      <c r="AL14" s="148">
        <f>'Data Reduction Engine'!$I98</f>
        <v>1.2364040787685173</v>
      </c>
      <c r="AM14" s="148">
        <f>'Data Reduction Engine'!$I99</f>
        <v>0.98442809263123787</v>
      </c>
      <c r="AO14" s="148">
        <f>'Data Reduction Engine'!$I101</f>
        <v>4.0699563390155173</v>
      </c>
      <c r="AP14" s="148">
        <f>'Data Reduction Engine'!$I102</f>
        <v>3.878061079585235</v>
      </c>
      <c r="AQ14" s="148">
        <f>'Data Reduction Engine'!$I103</f>
        <v>15.96584559433577</v>
      </c>
      <c r="AR14" s="148">
        <f>'Data Reduction Engine'!$I104</f>
        <v>0.35118412894589612</v>
      </c>
      <c r="AS14" s="148">
        <f>'Data Reduction Engine'!$I105</f>
        <v>0.35694636261070195</v>
      </c>
      <c r="AT14" s="143"/>
      <c r="AU14" s="148">
        <f t="shared" si="0"/>
        <v>26.162266353385039</v>
      </c>
      <c r="AV14" s="148">
        <f t="shared" si="1"/>
        <v>1.2364040787685173</v>
      </c>
      <c r="AW14" s="148">
        <f t="shared" si="2"/>
        <v>15.96584559433577</v>
      </c>
      <c r="AX14" s="148">
        <f t="shared" si="3"/>
        <v>0.35118412894589612</v>
      </c>
      <c r="AY14" s="148">
        <f>'Data Reduction Engine'!$I116</f>
        <v>0.51191998257489302</v>
      </c>
      <c r="AZ14" s="143"/>
      <c r="BA14" s="146">
        <f>'Data Reduction Engine'!$I6</f>
        <v>0.01</v>
      </c>
      <c r="BB14" s="145">
        <f>'Data Reduction Engine'!$I52</f>
        <v>5.8096230381652223</v>
      </c>
      <c r="BC14" s="150">
        <f>'Data Reduction Engine'!$I58</f>
        <v>0.78424633697677315</v>
      </c>
    </row>
    <row r="15" spans="1:79" s="151" customFormat="1" ht="12" customHeight="1" x14ac:dyDescent="0.15">
      <c r="A15" s="151" t="str">
        <f>'Raw Data Input'!A58</f>
        <v>15WZ1-2 t7</v>
      </c>
      <c r="B15" s="146">
        <f>'Data Reduction Engine'!$J55</f>
        <v>0.38781034086996707</v>
      </c>
      <c r="C15" s="187">
        <f>'Data Reduction Engine'!$J62*10000000000000</f>
        <v>2.7444945354508234E-2</v>
      </c>
      <c r="D15" s="197">
        <f>'Data Reduction Engine'!$J64</f>
        <v>0.2436699171008134</v>
      </c>
      <c r="E15" s="145">
        <f>'Data Reduction Engine'!$J66</f>
        <v>9.5246580862240776E-2</v>
      </c>
      <c r="F15" s="139">
        <f>'Raw Data Input'!H58</f>
        <v>7.0077203374876005</v>
      </c>
      <c r="G15" s="145">
        <f>'Data Reduction Engine'!$J65</f>
        <v>24.50234136200411</v>
      </c>
      <c r="H15" s="139"/>
      <c r="I15" s="146">
        <f>'Data Reduction Engine'!$J56</f>
        <v>0.12411658498689421</v>
      </c>
      <c r="J15" s="148">
        <f>IF('Raw Data Input'!AT$56="off",'Data Reduction Engine'!J$77,'Data Reduction Engine'!J$90)</f>
        <v>5.4958203516352985E-2</v>
      </c>
      <c r="K15" s="146">
        <f>'Data Reduction Engine'!$J78</f>
        <v>21.83608011496921</v>
      </c>
      <c r="L15" s="148">
        <f>'Data Reduction Engine'!$J69</f>
        <v>0.10580270337015114</v>
      </c>
      <c r="M15" s="146">
        <f>'Data Reduction Engine'!$J70</f>
        <v>21.94526996947674</v>
      </c>
      <c r="N15" s="148">
        <f>IF('Raw Data Input'!AT$56="off",'Data Reduction Engine'!J$71,'Data Reduction Engine'!J$84)</f>
        <v>1.3962492787955754E-2</v>
      </c>
      <c r="O15" s="146">
        <f>'Data Reduction Engine'!$J85</f>
        <v>3.5986844640114564</v>
      </c>
      <c r="P15" s="146">
        <f>'Data Reduction Engine'!$J73</f>
        <v>0.11230814990419177</v>
      </c>
      <c r="Q15" s="149"/>
      <c r="R15" s="139">
        <f>'Raw Data Input'!B58</f>
        <v>410.52162647247314</v>
      </c>
      <c r="S15" s="139">
        <f>'Raw Data Input'!C58</f>
        <v>488.17554236394153</v>
      </c>
      <c r="T15" s="139">
        <f>'Raw Data Input'!D58</f>
        <v>102.11859637264516</v>
      </c>
      <c r="U15" s="139">
        <f>'Raw Data Input'!E58</f>
        <v>21.320135269587205</v>
      </c>
      <c r="V15" s="146">
        <f>'Raw Data Input'!F58</f>
        <v>89.385431902516075</v>
      </c>
      <c r="W15" s="146">
        <f>'Raw Data Input'!G58</f>
        <v>3.1945011281849256</v>
      </c>
      <c r="X15" s="150"/>
      <c r="Y15" s="148">
        <f>'Data Reduction Engine'!$J107</f>
        <v>18.455817758685502</v>
      </c>
      <c r="Z15" s="148">
        <f>'Data Reduction Engine'!$J108</f>
        <v>2.8449917450005819</v>
      </c>
      <c r="AA15" s="148">
        <f>'Data Reduction Engine'!$J109</f>
        <v>0.63885997981845277</v>
      </c>
      <c r="AB15" s="148">
        <f>'Data Reduction Engine'!$J110</f>
        <v>0.98570900588046773</v>
      </c>
      <c r="AC15" s="148">
        <f>'Data Reduction Engine'!$J111</f>
        <v>3.9986608337403834E-2</v>
      </c>
      <c r="AD15" s="148">
        <f>'Data Reduction Engine'!$J112</f>
        <v>1.1127033860702198</v>
      </c>
      <c r="AE15" s="148">
        <f>'Data Reduction Engine'!$J113</f>
        <v>-0.99225368744361031</v>
      </c>
      <c r="AF15" s="148">
        <f>'Data Reduction Engine'!$J114</f>
        <v>-0.97105130647280169</v>
      </c>
      <c r="AG15" s="148">
        <f>'Data Reduction Engine'!$J115</f>
        <v>0.9695425915814343</v>
      </c>
      <c r="AH15" s="143"/>
      <c r="AI15" s="148">
        <f>'Data Reduction Engine'!$J95</f>
        <v>461.54996700287194</v>
      </c>
      <c r="AJ15" s="148">
        <f>'Data Reduction Engine'!$J96</f>
        <v>3.9344718746403791</v>
      </c>
      <c r="AK15" s="148">
        <f>'Data Reduction Engine'!$J97</f>
        <v>25.008372592195848</v>
      </c>
      <c r="AL15" s="148">
        <f>'Data Reduction Engine'!$J98</f>
        <v>1.1127033860702198</v>
      </c>
      <c r="AM15" s="148">
        <f>'Data Reduction Engine'!$J99</f>
        <v>0.98496989187693351</v>
      </c>
      <c r="AO15" s="148">
        <f>'Data Reduction Engine'!$J101</f>
        <v>3.3474758268267477</v>
      </c>
      <c r="AP15" s="148">
        <f>'Data Reduction Engine'!$J102</f>
        <v>3.9344718746403791</v>
      </c>
      <c r="AQ15" s="148">
        <f>'Data Reduction Engine'!$J103</f>
        <v>15.976848409542587</v>
      </c>
      <c r="AR15" s="148">
        <f>'Data Reduction Engine'!$J104</f>
        <v>0.28799140649975991</v>
      </c>
      <c r="AS15" s="148">
        <f>'Data Reduction Engine'!$J105</f>
        <v>0.41134546720765497</v>
      </c>
      <c r="AT15" s="143"/>
      <c r="AU15" s="148">
        <f t="shared" si="0"/>
        <v>25.008372592195848</v>
      </c>
      <c r="AV15" s="148">
        <f t="shared" si="1"/>
        <v>1.1127033860702198</v>
      </c>
      <c r="AW15" s="148">
        <f t="shared" si="2"/>
        <v>15.976848409542587</v>
      </c>
      <c r="AX15" s="148">
        <f t="shared" si="3"/>
        <v>0.28799140649975991</v>
      </c>
      <c r="AY15" s="148">
        <f>'Data Reduction Engine'!$J116</f>
        <v>0.54521252516554808</v>
      </c>
      <c r="AZ15" s="143"/>
      <c r="BA15" s="146">
        <f>'Data Reduction Engine'!$J6</f>
        <v>0.01</v>
      </c>
      <c r="BB15" s="145">
        <f>'Data Reduction Engine'!$J52</f>
        <v>4.7172352298392903</v>
      </c>
      <c r="BC15" s="150">
        <f>'Data Reduction Engine'!$J58</f>
        <v>0.76743521676158877</v>
      </c>
    </row>
    <row r="16" spans="1:79" s="151" customFormat="1" ht="12" customHeight="1" x14ac:dyDescent="0.15">
      <c r="A16" s="151" t="str">
        <f>'Raw Data Input'!A59</f>
        <v>z1a</v>
      </c>
      <c r="B16" s="146">
        <f>'Data Reduction Engine'!$K55</f>
        <v>0.60192975446302244</v>
      </c>
      <c r="C16" s="187">
        <f>'Data Reduction Engine'!$K62*10000000000000</f>
        <v>0.72600362269802832</v>
      </c>
      <c r="D16" s="197">
        <f>'Data Reduction Engine'!$K64</f>
        <v>0.99446764301063806</v>
      </c>
      <c r="E16" s="145">
        <f>'Data Reduction Engine'!$K66</f>
        <v>55.431361882716914</v>
      </c>
      <c r="F16" s="139">
        <f>'Raw Data Input'!H59</f>
        <v>0.33519948830098384</v>
      </c>
      <c r="G16" s="145">
        <f>'Data Reduction Engine'!$K65</f>
        <v>3261.2130102154165</v>
      </c>
      <c r="H16" s="139"/>
      <c r="I16" s="146">
        <f>'Data Reduction Engine'!$K56</f>
        <v>0.19329088779785714</v>
      </c>
      <c r="J16" s="148">
        <f>IF('Raw Data Input'!AT$56="off",'Data Reduction Engine'!K$77,'Data Reduction Engine'!K$90)</f>
        <v>4.7039043452681881E-2</v>
      </c>
      <c r="K16" s="146">
        <f>'Data Reduction Engine'!$K78</f>
        <v>0.15463316337931962</v>
      </c>
      <c r="L16" s="148">
        <f>'Data Reduction Engine'!$K69</f>
        <v>4.5021756132530399E-2</v>
      </c>
      <c r="M16" s="146">
        <f>'Data Reduction Engine'!$K70</f>
        <v>0.20180319109851225</v>
      </c>
      <c r="N16" s="148">
        <f>IF('Raw Data Input'!AT$56="off",'Data Reduction Engine'!K$71,'Data Reduction Engine'!K$84)</f>
        <v>6.9416493949732393E-3</v>
      </c>
      <c r="O16" s="146">
        <f>'Data Reduction Engine'!$K85</f>
        <v>6.9943336533119696E-2</v>
      </c>
      <c r="P16" s="146">
        <f>'Data Reduction Engine'!$K73</f>
        <v>0.7980418406065134</v>
      </c>
      <c r="Q16" s="149"/>
      <c r="R16" s="139">
        <f>'Raw Data Input'!B59</f>
        <v>51.209330558776855</v>
      </c>
      <c r="S16" s="139">
        <f>'Raw Data Input'!C59</f>
        <v>3.6881953277148209</v>
      </c>
      <c r="T16" s="139">
        <f>'Raw Data Input'!D59</f>
        <v>44.715138818739604</v>
      </c>
      <c r="U16" s="139">
        <f>'Raw Data Input'!E59</f>
        <v>8.8278519145874992E-2</v>
      </c>
      <c r="V16" s="146">
        <f>'Raw Data Input'!F59</f>
        <v>44.594147090754795</v>
      </c>
      <c r="W16" s="146">
        <f>'Raw Data Input'!G59</f>
        <v>3.1082999498738693E-2</v>
      </c>
      <c r="X16" s="150"/>
      <c r="Y16" s="148">
        <f>'Data Reduction Engine'!$K107</f>
        <v>144.33861523777801</v>
      </c>
      <c r="Z16" s="148">
        <f>'Data Reduction Engine'!$K108</f>
        <v>0.28554403778127663</v>
      </c>
      <c r="AA16" s="148">
        <f>'Data Reduction Engine'!$K109</f>
        <v>4.7130678385134753E-2</v>
      </c>
      <c r="AB16" s="148">
        <f>'Data Reduction Engine'!$K110</f>
        <v>4.8052345132556615</v>
      </c>
      <c r="AC16" s="148">
        <f>'Data Reduction Engine'!$K111</f>
        <v>0</v>
      </c>
      <c r="AD16" s="148">
        <f>'Data Reduction Engine'!$K112</f>
        <v>0</v>
      </c>
      <c r="AE16" s="148">
        <f>'Data Reduction Engine'!$K113</f>
        <v>-0.97714541489042106</v>
      </c>
      <c r="AF16" s="148">
        <f>'Data Reduction Engine'!$K114</f>
        <v>0</v>
      </c>
      <c r="AG16" s="148">
        <f>'Data Reduction Engine'!$K115</f>
        <v>0</v>
      </c>
      <c r="AH16" s="143"/>
      <c r="AI16" s="148">
        <f>'Data Reduction Engine'!$K95</f>
        <v>0</v>
      </c>
      <c r="AJ16" s="148">
        <f>'Data Reduction Engine'!$K96</f>
        <v>0</v>
      </c>
      <c r="AK16" s="148">
        <f>'Data Reduction Engine'!$K97</f>
        <v>0</v>
      </c>
      <c r="AL16" s="148">
        <f>'Data Reduction Engine'!$K98</f>
        <v>0</v>
      </c>
      <c r="AM16" s="148">
        <f>'Data Reduction Engine'!$K99</f>
        <v>0</v>
      </c>
      <c r="AO16" s="148">
        <f>'Data Reduction Engine'!$K101</f>
        <v>0</v>
      </c>
      <c r="AP16" s="148">
        <f>'Data Reduction Engine'!$K102</f>
        <v>1.9231108448656109E-2</v>
      </c>
      <c r="AQ16" s="148">
        <f>'Data Reduction Engine'!$K103</f>
        <v>0</v>
      </c>
      <c r="AR16" s="148">
        <f>'Data Reduction Engine'!$K104</f>
        <v>0</v>
      </c>
      <c r="AS16" s="148">
        <f>'Data Reduction Engine'!$K105</f>
        <v>0</v>
      </c>
      <c r="AT16" s="143"/>
      <c r="AU16" s="148">
        <f t="shared" si="0"/>
        <v>0</v>
      </c>
      <c r="AV16" s="148">
        <f t="shared" si="1"/>
        <v>0</v>
      </c>
      <c r="AW16" s="148">
        <f t="shared" si="2"/>
        <v>0</v>
      </c>
      <c r="AX16" s="148">
        <f t="shared" si="3"/>
        <v>0</v>
      </c>
      <c r="AY16" s="148">
        <f>'Data Reduction Engine'!$K116</f>
        <v>0</v>
      </c>
      <c r="AZ16" s="143"/>
      <c r="BA16" s="146">
        <f>'Data Reduction Engine'!$K6</f>
        <v>0.01</v>
      </c>
      <c r="BB16" s="145">
        <f>'Data Reduction Engine'!$K52</f>
        <v>251.2403819298751</v>
      </c>
      <c r="BC16" s="150">
        <f>'Data Reduction Engine'!$K58</f>
        <v>1.8915763627214348</v>
      </c>
    </row>
    <row r="17" spans="1:55" s="151" customFormat="1" ht="12" customHeight="1" x14ac:dyDescent="0.15">
      <c r="A17" s="151" t="str">
        <f>'Raw Data Input'!A60</f>
        <v>z1b</v>
      </c>
      <c r="B17" s="146">
        <f>'Data Reduction Engine'!$L55</f>
        <v>0.59410896997923179</v>
      </c>
      <c r="C17" s="187">
        <f>'Data Reduction Engine'!$L62*10000000000000</f>
        <v>0.51532605321807234</v>
      </c>
      <c r="D17" s="197">
        <f>'Data Reduction Engine'!$L64</f>
        <v>0.99057486526058569</v>
      </c>
      <c r="E17" s="145">
        <f>'Data Reduction Engine'!$L66</f>
        <v>32.343759377636552</v>
      </c>
      <c r="F17" s="139">
        <f>'Raw Data Input'!H60</f>
        <v>0.40693719101173476</v>
      </c>
      <c r="G17" s="145">
        <f>'Data Reduction Engine'!$L65</f>
        <v>1914.2638370371653</v>
      </c>
      <c r="H17" s="139"/>
      <c r="I17" s="146">
        <f>'Data Reduction Engine'!$L56</f>
        <v>0.19077963515924373</v>
      </c>
      <c r="J17" s="148">
        <f>IF('Raw Data Input'!AT$56="off",'Data Reduction Engine'!L$77,'Data Reduction Engine'!L$90)</f>
        <v>4.7047122506225225E-2</v>
      </c>
      <c r="K17" s="146">
        <f>'Data Reduction Engine'!$L78</f>
        <v>0.26519393607809255</v>
      </c>
      <c r="L17" s="148">
        <f>'Data Reduction Engine'!$L69</f>
        <v>4.5021399945551231E-2</v>
      </c>
      <c r="M17" s="146">
        <f>'Data Reduction Engine'!$L70</f>
        <v>0.30698261735018961</v>
      </c>
      <c r="N17" s="148">
        <f>IF('Raw Data Input'!AT$56="off",'Data Reduction Engine'!L$71,'Data Reduction Engine'!L$84)</f>
        <v>6.9404024479669153E-3</v>
      </c>
      <c r="O17" s="146">
        <f>'Data Reduction Engine'!$L85</f>
        <v>7.3858843334822302E-2</v>
      </c>
      <c r="P17" s="146">
        <f>'Data Reduction Engine'!$L73</f>
        <v>0.67220252075040021</v>
      </c>
      <c r="Q17" s="149"/>
      <c r="R17" s="139">
        <f>'Raw Data Input'!B60</f>
        <v>51.620602607727051</v>
      </c>
      <c r="S17" s="139">
        <f>'Raw Data Input'!C60</f>
        <v>6.3247313027655441</v>
      </c>
      <c r="T17" s="139">
        <f>'Raw Data Input'!D60</f>
        <v>44.714792733807109</v>
      </c>
      <c r="U17" s="139">
        <f>'Raw Data Input'!E60</f>
        <v>0.1342880930305641</v>
      </c>
      <c r="V17" s="139">
        <f>'Raw Data Input'!F60</f>
        <v>44.586164163593281</v>
      </c>
      <c r="W17" s="139">
        <f>'Raw Data Input'!G60</f>
        <v>3.2817205384833466E-2</v>
      </c>
      <c r="X17" s="150"/>
      <c r="Y17" s="148">
        <f>'Data Reduction Engine'!$L107</f>
        <v>144.36459835413942</v>
      </c>
      <c r="Z17" s="148">
        <f>'Data Reduction Engine'!$L108</f>
        <v>0.48016243269989228</v>
      </c>
      <c r="AA17" s="148">
        <f>'Data Reduction Engine'!$L109</f>
        <v>4.7138789675664192E-2</v>
      </c>
      <c r="AB17" s="148">
        <f>'Data Reduction Engine'!$L110</f>
        <v>8.2161976234649625</v>
      </c>
      <c r="AC17" s="148">
        <f>'Data Reduction Engine'!$L111</f>
        <v>0</v>
      </c>
      <c r="AD17" s="148">
        <f>'Data Reduction Engine'!$L112</f>
        <v>0</v>
      </c>
      <c r="AE17" s="148">
        <f>'Data Reduction Engine'!$L113</f>
        <v>-0.99194551217856564</v>
      </c>
      <c r="AF17" s="148">
        <f>'Data Reduction Engine'!$L114</f>
        <v>0</v>
      </c>
      <c r="AG17" s="148">
        <f>'Data Reduction Engine'!$L115</f>
        <v>0</v>
      </c>
      <c r="AH17" s="143"/>
      <c r="AI17" s="148">
        <f>'Data Reduction Engine'!$L95</f>
        <v>0</v>
      </c>
      <c r="AJ17" s="148">
        <f>'Data Reduction Engine'!$L96</f>
        <v>0</v>
      </c>
      <c r="AK17" s="148">
        <f>'Data Reduction Engine'!$L97</f>
        <v>0</v>
      </c>
      <c r="AL17" s="148">
        <f>'Data Reduction Engine'!$L98</f>
        <v>0</v>
      </c>
      <c r="AM17" s="148">
        <f>'Data Reduction Engine'!$L99</f>
        <v>0</v>
      </c>
      <c r="AO17" s="148">
        <f>'Data Reduction Engine'!$L101</f>
        <v>0</v>
      </c>
      <c r="AP17" s="148">
        <f>'Data Reduction Engine'!$L102</f>
        <v>1.8034563997964288E-2</v>
      </c>
      <c r="AQ17" s="148">
        <f>'Data Reduction Engine'!$L103</f>
        <v>0</v>
      </c>
      <c r="AR17" s="148">
        <f>'Data Reduction Engine'!$L104</f>
        <v>0</v>
      </c>
      <c r="AS17" s="148">
        <f>'Data Reduction Engine'!$L105</f>
        <v>0</v>
      </c>
      <c r="AT17" s="143"/>
      <c r="AU17" s="148">
        <f t="shared" si="0"/>
        <v>0</v>
      </c>
      <c r="AV17" s="148">
        <f t="shared" si="1"/>
        <v>0</v>
      </c>
      <c r="AW17" s="148">
        <f t="shared" si="2"/>
        <v>0</v>
      </c>
      <c r="AX17" s="148">
        <f t="shared" si="3"/>
        <v>0</v>
      </c>
      <c r="AY17" s="148">
        <f>'Data Reduction Engine'!$L116</f>
        <v>0</v>
      </c>
      <c r="AZ17" s="143"/>
      <c r="BA17" s="146">
        <f>'Data Reduction Engine'!$L6</f>
        <v>0.01</v>
      </c>
      <c r="BB17" s="145">
        <f>'Data Reduction Engine'!$L52</f>
        <v>178.36553021433986</v>
      </c>
      <c r="BC17" s="150">
        <f>'Data Reduction Engine'!$L58</f>
        <v>1.3568815778906604</v>
      </c>
    </row>
    <row r="18" spans="1:55" s="151" customFormat="1" ht="12" customHeight="1" x14ac:dyDescent="0.15">
      <c r="A18" s="151" t="str">
        <f>'Raw Data Input'!A61</f>
        <v>z2</v>
      </c>
      <c r="B18" s="146">
        <f>'Data Reduction Engine'!$M55</f>
        <v>0.59140245095066513</v>
      </c>
      <c r="C18" s="187">
        <f>'Data Reduction Engine'!$M62*10000000000000</f>
        <v>0.47604963626740088</v>
      </c>
      <c r="D18" s="197">
        <f>'Data Reduction Engine'!$M64</f>
        <v>0.99000224691766736</v>
      </c>
      <c r="E18" s="145">
        <f>'Data Reduction Engine'!$M66</f>
        <v>30.45163425705211</v>
      </c>
      <c r="F18" s="139">
        <f>'Raw Data Input'!H61</f>
        <v>0.39899135325685264</v>
      </c>
      <c r="G18" s="145">
        <f>'Data Reduction Engine'!$M65</f>
        <v>1804.6249434531821</v>
      </c>
      <c r="H18" s="139"/>
      <c r="I18" s="146">
        <f>'Data Reduction Engine'!$M56</f>
        <v>0.18991057208375467</v>
      </c>
      <c r="J18" s="148">
        <f>IF('Raw Data Input'!AT$56="off",'Data Reduction Engine'!M$77,'Data Reduction Engine'!M$90)</f>
        <v>4.702874212656781E-2</v>
      </c>
      <c r="K18" s="146">
        <f>'Data Reduction Engine'!$M78</f>
        <v>0.26579095514272977</v>
      </c>
      <c r="L18" s="148">
        <f>'Data Reduction Engine'!$M69</f>
        <v>4.500097716118831E-2</v>
      </c>
      <c r="M18" s="146">
        <f>'Data Reduction Engine'!$M70</f>
        <v>0.30895041037955456</v>
      </c>
      <c r="N18" s="148">
        <f>IF('Raw Data Input'!AT$56="off",'Data Reduction Engine'!M$71,'Data Reduction Engine'!M$84)</f>
        <v>6.9399654224771897E-3</v>
      </c>
      <c r="O18" s="146">
        <f>'Data Reduction Engine'!$M85</f>
        <v>7.7670360813122202E-2</v>
      </c>
      <c r="P18" s="146">
        <f>'Data Reduction Engine'!$M73</f>
        <v>0.66368549996788773</v>
      </c>
      <c r="Q18" s="149"/>
      <c r="R18" s="139">
        <f>'Raw Data Input'!B61</f>
        <v>50.687193870544434</v>
      </c>
      <c r="S18" s="139">
        <f>'Raw Data Input'!C61</f>
        <v>6.3400729101344204</v>
      </c>
      <c r="T18" s="139">
        <f>'Raw Data Input'!D61</f>
        <v>44.694948975797345</v>
      </c>
      <c r="U18" s="139">
        <f>'Raw Data Input'!E61</f>
        <v>0.13509022806450527</v>
      </c>
      <c r="V18" s="139">
        <f>'Raw Data Input'!F61</f>
        <v>44.583366333731767</v>
      </c>
      <c r="W18" s="139">
        <f>'Raw Data Input'!G61</f>
        <v>3.4508593321526469E-2</v>
      </c>
      <c r="X18" s="150"/>
      <c r="Y18" s="148">
        <f>'Data Reduction Engine'!$M107</f>
        <v>144.37370703703201</v>
      </c>
      <c r="Z18" s="148">
        <f>'Data Reduction Engine'!$M108</f>
        <v>0.50967666686632374</v>
      </c>
      <c r="AA18" s="148">
        <f>'Data Reduction Engine'!$M109</f>
        <v>4.7120379264937402E-2</v>
      </c>
      <c r="AB18" s="148">
        <f>'Data Reduction Engine'!$M110</f>
        <v>8.7237611594233186</v>
      </c>
      <c r="AC18" s="148">
        <f>'Data Reduction Engine'!$M111</f>
        <v>0</v>
      </c>
      <c r="AD18" s="148">
        <f>'Data Reduction Engine'!$M112</f>
        <v>0</v>
      </c>
      <c r="AE18" s="148">
        <f>'Data Reduction Engine'!$M113</f>
        <v>-0.99178028645532645</v>
      </c>
      <c r="AF18" s="148">
        <f>'Data Reduction Engine'!$M114</f>
        <v>0</v>
      </c>
      <c r="AG18" s="148">
        <f>'Data Reduction Engine'!$M115</f>
        <v>0</v>
      </c>
      <c r="AH18" s="143"/>
      <c r="AI18" s="148">
        <f>'Data Reduction Engine'!$M95</f>
        <v>0</v>
      </c>
      <c r="AJ18" s="148">
        <f>'Data Reduction Engine'!$M96</f>
        <v>0</v>
      </c>
      <c r="AK18" s="148">
        <f>'Data Reduction Engine'!$M97</f>
        <v>0</v>
      </c>
      <c r="AL18" s="148">
        <f>'Data Reduction Engine'!$M98</f>
        <v>0</v>
      </c>
      <c r="AM18" s="148">
        <f>'Data Reduction Engine'!$M99</f>
        <v>0</v>
      </c>
      <c r="AO18" s="148">
        <f>'Data Reduction Engine'!$M101</f>
        <v>0</v>
      </c>
      <c r="AP18" s="148">
        <f>'Data Reduction Engine'!$M102</f>
        <v>1.7344083394717481E-2</v>
      </c>
      <c r="AQ18" s="148">
        <f>'Data Reduction Engine'!$M103</f>
        <v>0</v>
      </c>
      <c r="AR18" s="148">
        <f>'Data Reduction Engine'!$M104</f>
        <v>0</v>
      </c>
      <c r="AS18" s="148">
        <f>'Data Reduction Engine'!$M105</f>
        <v>0</v>
      </c>
      <c r="AT18" s="143"/>
      <c r="AU18" s="148">
        <f t="shared" si="0"/>
        <v>0</v>
      </c>
      <c r="AV18" s="148">
        <f t="shared" si="1"/>
        <v>0</v>
      </c>
      <c r="AW18" s="148">
        <f t="shared" si="2"/>
        <v>0</v>
      </c>
      <c r="AX18" s="148">
        <f t="shared" si="3"/>
        <v>0</v>
      </c>
      <c r="AY18" s="148">
        <f>'Data Reduction Engine'!$M116</f>
        <v>0</v>
      </c>
      <c r="AZ18" s="143"/>
      <c r="BA18" s="146">
        <f>'Data Reduction Engine'!$M6</f>
        <v>0.01</v>
      </c>
      <c r="BB18" s="145">
        <f>'Data Reduction Engine'!$M52</f>
        <v>164.78150619373318</v>
      </c>
      <c r="BC18" s="150">
        <f>'Data Reduction Engine'!$M58</f>
        <v>1.2548930114360806</v>
      </c>
    </row>
    <row r="19" spans="1:55" s="151" customFormat="1" ht="12" customHeight="1" x14ac:dyDescent="0.15">
      <c r="A19" s="151" t="str">
        <f>'Raw Data Input'!A62</f>
        <v>z3</v>
      </c>
      <c r="B19" s="146">
        <f>'Data Reduction Engine'!$N55</f>
        <v>0.62249200288974094</v>
      </c>
      <c r="C19" s="187">
        <f>'Data Reduction Engine'!$N62*10000000000000</f>
        <v>0.74327560874560661</v>
      </c>
      <c r="D19" s="197">
        <f>'Data Reduction Engine'!$N64</f>
        <v>0.99245962825870371</v>
      </c>
      <c r="E19" s="145">
        <f>'Data Reduction Engine'!$N66</f>
        <v>40.80402725308091</v>
      </c>
      <c r="F19" s="139">
        <f>'Raw Data Input'!H62</f>
        <v>0.46867826013808833</v>
      </c>
      <c r="G19" s="145">
        <f>'Data Reduction Engine'!$N65</f>
        <v>2392.7460355902535</v>
      </c>
      <c r="H19" s="139"/>
      <c r="I19" s="146">
        <f>'Data Reduction Engine'!$N56</f>
        <v>0.19989402684732813</v>
      </c>
      <c r="J19" s="148">
        <f>IF('Raw Data Input'!AT$56="off",'Data Reduction Engine'!N$77,'Data Reduction Engine'!N$90)</f>
        <v>4.699241256271177E-2</v>
      </c>
      <c r="K19" s="146">
        <f>'Data Reduction Engine'!$N78</f>
        <v>0.21081459181025836</v>
      </c>
      <c r="L19" s="148">
        <f>'Data Reduction Engine'!$N69</f>
        <v>4.4965769753424256E-2</v>
      </c>
      <c r="M19" s="146">
        <f>'Data Reduction Engine'!$N70</f>
        <v>0.25380096248858669</v>
      </c>
      <c r="N19" s="148">
        <f>IF('Raw Data Input'!AT$56="off",'Data Reduction Engine'!N$71,'Data Reduction Engine'!N$84)</f>
        <v>6.9398968525109421E-3</v>
      </c>
      <c r="O19" s="146">
        <f>'Data Reduction Engine'!$N85</f>
        <v>7.216606949151512E-2</v>
      </c>
      <c r="P19" s="146">
        <f>'Data Reduction Engine'!$N73</f>
        <v>0.71319552863272651</v>
      </c>
      <c r="Q19" s="149"/>
      <c r="R19" s="139">
        <f>'Raw Data Input'!B62</f>
        <v>48.84183406829834</v>
      </c>
      <c r="S19" s="139">
        <f>'Raw Data Input'!C62</f>
        <v>5.0304370418369837</v>
      </c>
      <c r="T19" s="139">
        <f>'Raw Data Input'!D62</f>
        <v>44.660738857144587</v>
      </c>
      <c r="U19" s="139">
        <f>'Raw Data Input'!E62</f>
        <v>0.11089274742298558</v>
      </c>
      <c r="V19" s="139">
        <f>'Raw Data Input'!F62</f>
        <v>44.582927349847445</v>
      </c>
      <c r="W19" s="139">
        <f>'Raw Data Input'!G62</f>
        <v>3.206274673428388E-2</v>
      </c>
      <c r="X19" s="150"/>
      <c r="Y19" s="148">
        <f>'Data Reduction Engine'!$N107</f>
        <v>144.37513630760046</v>
      </c>
      <c r="Z19" s="148">
        <f>'Data Reduction Engine'!$N108</f>
        <v>0.3854306889885602</v>
      </c>
      <c r="AA19" s="148">
        <f>'Data Reduction Engine'!$N109</f>
        <v>4.7083979818152044E-2</v>
      </c>
      <c r="AB19" s="148">
        <f>'Data Reduction Engine'!$N110</f>
        <v>6.5691047759245684</v>
      </c>
      <c r="AC19" s="148">
        <f>'Data Reduction Engine'!$N111</f>
        <v>0</v>
      </c>
      <c r="AD19" s="148">
        <f>'Data Reduction Engine'!$N112</f>
        <v>0</v>
      </c>
      <c r="AE19" s="148">
        <f>'Data Reduction Engine'!$N113</f>
        <v>-0.9873088287370968</v>
      </c>
      <c r="AF19" s="148">
        <f>'Data Reduction Engine'!$N114</f>
        <v>0</v>
      </c>
      <c r="AG19" s="148">
        <f>'Data Reduction Engine'!$N115</f>
        <v>0</v>
      </c>
      <c r="AH19" s="143"/>
      <c r="AI19" s="148">
        <f>'Data Reduction Engine'!$N95</f>
        <v>0</v>
      </c>
      <c r="AJ19" s="148">
        <f>'Data Reduction Engine'!$N96</f>
        <v>0</v>
      </c>
      <c r="AK19" s="148">
        <f>'Data Reduction Engine'!$N97</f>
        <v>0</v>
      </c>
      <c r="AL19" s="148">
        <f>'Data Reduction Engine'!$N98</f>
        <v>0</v>
      </c>
      <c r="AM19" s="148">
        <f>'Data Reduction Engine'!$N99</f>
        <v>0</v>
      </c>
      <c r="AO19" s="148">
        <f>'Data Reduction Engine'!$N101</f>
        <v>0</v>
      </c>
      <c r="AP19" s="148">
        <f>'Data Reduction Engine'!$N102</f>
        <v>1.8408585817567175E-2</v>
      </c>
      <c r="AQ19" s="148">
        <f>'Data Reduction Engine'!$N103</f>
        <v>0</v>
      </c>
      <c r="AR19" s="148">
        <f>'Data Reduction Engine'!$N104</f>
        <v>0</v>
      </c>
      <c r="AS19" s="148">
        <f>'Data Reduction Engine'!$N105</f>
        <v>0</v>
      </c>
      <c r="AT19" s="143"/>
      <c r="AU19" s="148">
        <f t="shared" si="0"/>
        <v>0</v>
      </c>
      <c r="AV19" s="148">
        <f t="shared" si="1"/>
        <v>0</v>
      </c>
      <c r="AW19" s="148">
        <f t="shared" si="2"/>
        <v>0</v>
      </c>
      <c r="AX19" s="148">
        <f t="shared" si="3"/>
        <v>0</v>
      </c>
      <c r="AY19" s="148">
        <f>'Data Reduction Engine'!$N116</f>
        <v>0</v>
      </c>
      <c r="AZ19" s="143"/>
      <c r="BA19" s="146">
        <f>'Data Reduction Engine'!$N6</f>
        <v>0.01</v>
      </c>
      <c r="BB19" s="145">
        <f>'Data Reduction Engine'!$N52</f>
        <v>257.2825972407424</v>
      </c>
      <c r="BC19" s="150">
        <f>'Data Reduction Engine'!$N58</f>
        <v>1.9592638759739189</v>
      </c>
    </row>
    <row r="20" spans="1:55" s="151" customFormat="1" ht="12" customHeight="1" x14ac:dyDescent="0.15">
      <c r="A20" s="151" t="str">
        <f>'Raw Data Input'!A63</f>
        <v>z4</v>
      </c>
      <c r="B20" s="146">
        <f>'Data Reduction Engine'!$O55</f>
        <v>0.57376125687434498</v>
      </c>
      <c r="C20" s="187">
        <f>'Data Reduction Engine'!$O62*10000000000000</f>
        <v>0.19358919574381642</v>
      </c>
      <c r="D20" s="197">
        <f>'Data Reduction Engine'!$O64</f>
        <v>0.97913075030428376</v>
      </c>
      <c r="E20" s="145">
        <f>'Data Reduction Engine'!$O66</f>
        <v>14.360816867385267</v>
      </c>
      <c r="F20" s="139">
        <f>'Raw Data Input'!H63</f>
        <v>0.34244614430345494</v>
      </c>
      <c r="G20" s="145">
        <f>'Data Reduction Engine'!$O65</f>
        <v>864.53489482982786</v>
      </c>
      <c r="H20" s="139"/>
      <c r="I20" s="146">
        <f>'Data Reduction Engine'!$O56</f>
        <v>0.18424602816073593</v>
      </c>
      <c r="J20" s="148">
        <f>IF('Raw Data Input'!AT$56="off",'Data Reduction Engine'!O$77,'Data Reduction Engine'!O$90)</f>
        <v>4.6965979528843516E-2</v>
      </c>
      <c r="K20" s="146">
        <f>'Data Reduction Engine'!$O78</f>
        <v>0.5070909329239891</v>
      </c>
      <c r="L20" s="148">
        <f>'Data Reduction Engine'!$O69</f>
        <v>4.4919426036428602E-2</v>
      </c>
      <c r="M20" s="146">
        <f>'Data Reduction Engine'!$O70</f>
        <v>0.55941728227304455</v>
      </c>
      <c r="N20" s="148">
        <f>IF('Raw Data Input'!AT$56="off",'Data Reduction Engine'!O$71,'Data Reduction Engine'!O$84)</f>
        <v>6.9366461211466538E-3</v>
      </c>
      <c r="O20" s="146">
        <f>'Data Reduction Engine'!$O85</f>
        <v>8.3701927476289337E-2</v>
      </c>
      <c r="P20" s="146">
        <f>'Data Reduction Engine'!$O73</f>
        <v>0.69431258324036393</v>
      </c>
      <c r="Q20" s="149"/>
      <c r="R20" s="139">
        <f>'Raw Data Input'!B63</f>
        <v>47.497153282165527</v>
      </c>
      <c r="S20" s="139">
        <f>'Raw Data Input'!C63</f>
        <v>12.103209051089406</v>
      </c>
      <c r="T20" s="139">
        <f>'Raw Data Input'!D63</f>
        <v>44.615706120451755</v>
      </c>
      <c r="U20" s="139">
        <f>'Raw Data Input'!E63</f>
        <v>0.24418398949171272</v>
      </c>
      <c r="V20" s="139">
        <f>'Raw Data Input'!F63</f>
        <v>44.562116182606566</v>
      </c>
      <c r="W20" s="139">
        <f>'Raw Data Input'!G63</f>
        <v>3.7170727140367593E-2</v>
      </c>
      <c r="X20" s="150"/>
      <c r="Y20" s="148">
        <f>'Data Reduction Engine'!$O107</f>
        <v>144.44292695306683</v>
      </c>
      <c r="Z20" s="148">
        <f>'Data Reduction Engine'!$O108</f>
        <v>1.0678043082643658</v>
      </c>
      <c r="AA20" s="148">
        <f>'Data Reduction Engine'!$O109</f>
        <v>4.7057538248865279E-2</v>
      </c>
      <c r="AB20" s="148">
        <f>'Data Reduction Engine'!$O110</f>
        <v>18.437589630312985</v>
      </c>
      <c r="AC20" s="148">
        <f>'Data Reduction Engine'!$O111</f>
        <v>0</v>
      </c>
      <c r="AD20" s="148">
        <f>'Data Reduction Engine'!$O112</f>
        <v>0</v>
      </c>
      <c r="AE20" s="148">
        <f>'Data Reduction Engine'!$O113</f>
        <v>-0.99832340298168765</v>
      </c>
      <c r="AF20" s="148">
        <f>'Data Reduction Engine'!$O114</f>
        <v>0</v>
      </c>
      <c r="AG20" s="148">
        <f>'Data Reduction Engine'!$O115</f>
        <v>0</v>
      </c>
      <c r="AH20" s="143"/>
      <c r="AI20" s="148">
        <f>'Data Reduction Engine'!$O95</f>
        <v>0</v>
      </c>
      <c r="AJ20" s="148">
        <f>'Data Reduction Engine'!$O96</f>
        <v>0</v>
      </c>
      <c r="AK20" s="148">
        <f>'Data Reduction Engine'!$O97</f>
        <v>0</v>
      </c>
      <c r="AL20" s="148">
        <f>'Data Reduction Engine'!$O98</f>
        <v>0</v>
      </c>
      <c r="AM20" s="148">
        <f>'Data Reduction Engine'!$O99</f>
        <v>0</v>
      </c>
      <c r="AO20" s="148">
        <f>'Data Reduction Engine'!$O101</f>
        <v>0</v>
      </c>
      <c r="AP20" s="148">
        <f>'Data Reduction Engine'!$O102</f>
        <v>1.9653194265042251E-2</v>
      </c>
      <c r="AQ20" s="148">
        <f>'Data Reduction Engine'!$O103</f>
        <v>0</v>
      </c>
      <c r="AR20" s="148">
        <f>'Data Reduction Engine'!$O104</f>
        <v>0</v>
      </c>
      <c r="AS20" s="148">
        <f>'Data Reduction Engine'!$O105</f>
        <v>0</v>
      </c>
      <c r="AT20" s="143"/>
      <c r="AU20" s="148">
        <f t="shared" si="0"/>
        <v>0</v>
      </c>
      <c r="AV20" s="148">
        <f t="shared" si="1"/>
        <v>0</v>
      </c>
      <c r="AW20" s="148">
        <f t="shared" si="2"/>
        <v>0</v>
      </c>
      <c r="AX20" s="148">
        <f t="shared" si="3"/>
        <v>0</v>
      </c>
      <c r="AY20" s="148">
        <f>'Data Reduction Engine'!$O116</f>
        <v>0</v>
      </c>
      <c r="AZ20" s="143"/>
      <c r="BA20" s="146">
        <f>'Data Reduction Engine'!$O6</f>
        <v>0.01</v>
      </c>
      <c r="BB20" s="145">
        <f>'Data Reduction Engine'!$O52</f>
        <v>67.04177722150061</v>
      </c>
      <c r="BC20" s="150">
        <f>'Data Reduction Engine'!$O58</f>
        <v>0.52602525095875574</v>
      </c>
    </row>
    <row r="21" spans="1:55" s="151" customFormat="1" ht="12" customHeight="1" x14ac:dyDescent="0.15">
      <c r="A21" s="151" t="str">
        <f>'Raw Data Input'!A64</f>
        <v>z5</v>
      </c>
      <c r="B21" s="146">
        <f>'Data Reduction Engine'!$P55</f>
        <v>0.60555586840707221</v>
      </c>
      <c r="C21" s="187">
        <f>'Data Reduction Engine'!$P62*10000000000000</f>
        <v>0.40114698522915326</v>
      </c>
      <c r="D21" s="197">
        <f>'Data Reduction Engine'!$P64</f>
        <v>0.99041025350930856</v>
      </c>
      <c r="E21" s="145">
        <f>'Data Reduction Engine'!$P66</f>
        <v>31.87243537110702</v>
      </c>
      <c r="F21" s="139">
        <f>'Raw Data Input'!H64</f>
        <v>0.32235955776182756</v>
      </c>
      <c r="G21" s="145">
        <f>'Data Reduction Engine'!$P65</f>
        <v>1881.4047491637373</v>
      </c>
      <c r="H21" s="139"/>
      <c r="I21" s="146">
        <f>'Data Reduction Engine'!$P56</f>
        <v>0.19445572339173678</v>
      </c>
      <c r="J21" s="148">
        <f>IF('Raw Data Input'!AT$56="off",'Data Reduction Engine'!P$77,'Data Reduction Engine'!P$90)</f>
        <v>4.6815048765959745E-2</v>
      </c>
      <c r="K21" s="146">
        <f>'Data Reduction Engine'!$P78</f>
        <v>0.2674386680825539</v>
      </c>
      <c r="L21" s="148">
        <f>'Data Reduction Engine'!$P69</f>
        <v>4.4784718602128161E-2</v>
      </c>
      <c r="M21" s="146">
        <f>'Data Reduction Engine'!$P70</f>
        <v>0.31289083520205679</v>
      </c>
      <c r="N21" s="148">
        <f>IF('Raw Data Input'!AT$56="off",'Data Reduction Engine'!P$71,'Data Reduction Engine'!P$84)</f>
        <v>6.938140574482555E-3</v>
      </c>
      <c r="O21" s="146">
        <f>'Data Reduction Engine'!$P85</f>
        <v>8.7384912741234153E-2</v>
      </c>
      <c r="P21" s="146">
        <f>'Data Reduction Engine'!$P73</f>
        <v>0.63622057000122545</v>
      </c>
      <c r="Q21" s="149"/>
      <c r="R21" s="139">
        <f>'Raw Data Input'!B64</f>
        <v>39.80100154876709</v>
      </c>
      <c r="S21" s="139">
        <f>'Raw Data Input'!C64</f>
        <v>6.3924519399068425</v>
      </c>
      <c r="T21" s="139">
        <f>'Raw Data Input'!D64</f>
        <v>44.484797975892967</v>
      </c>
      <c r="U21" s="139">
        <f>'Raw Data Input'!E64</f>
        <v>0.13618390751313772</v>
      </c>
      <c r="V21" s="139">
        <f>'Raw Data Input'!F64</f>
        <v>44.571683674332611</v>
      </c>
      <c r="W21" s="139">
        <f>'Raw Data Input'!G64</f>
        <v>3.8814586689000105E-2</v>
      </c>
      <c r="X21" s="150"/>
      <c r="Y21" s="148">
        <f>'Data Reduction Engine'!$P107</f>
        <v>144.41175376775448</v>
      </c>
      <c r="Z21" s="148">
        <f>'Data Reduction Engine'!$P108</f>
        <v>0.49071977499661662</v>
      </c>
      <c r="AA21" s="148">
        <f>'Data Reduction Engine'!$P109</f>
        <v>4.6906293554748367E-2</v>
      </c>
      <c r="AB21" s="148">
        <f>'Data Reduction Engine'!$P110</f>
        <v>8.404843653267994</v>
      </c>
      <c r="AC21" s="148">
        <f>'Data Reduction Engine'!$P111</f>
        <v>0</v>
      </c>
      <c r="AD21" s="148">
        <f>'Data Reduction Engine'!$P112</f>
        <v>0</v>
      </c>
      <c r="AE21" s="148">
        <f>'Data Reduction Engine'!$P113</f>
        <v>-0.98769992538958828</v>
      </c>
      <c r="AF21" s="148">
        <f>'Data Reduction Engine'!$P114</f>
        <v>0</v>
      </c>
      <c r="AG21" s="148">
        <f>'Data Reduction Engine'!$P115</f>
        <v>0</v>
      </c>
      <c r="AH21" s="143"/>
      <c r="AI21" s="148">
        <f>'Data Reduction Engine'!$P95</f>
        <v>0</v>
      </c>
      <c r="AJ21" s="148">
        <f>'Data Reduction Engine'!$P96</f>
        <v>0</v>
      </c>
      <c r="AK21" s="148">
        <f>'Data Reduction Engine'!$P97</f>
        <v>0</v>
      </c>
      <c r="AL21" s="148">
        <f>'Data Reduction Engine'!$P98</f>
        <v>0</v>
      </c>
      <c r="AM21" s="148">
        <f>'Data Reduction Engine'!$P99</f>
        <v>0</v>
      </c>
      <c r="AO21" s="148">
        <f>'Data Reduction Engine'!$P101</f>
        <v>0</v>
      </c>
      <c r="AP21" s="148">
        <f>'Data Reduction Engine'!$P102</f>
        <v>4.7836081270333591E-2</v>
      </c>
      <c r="AQ21" s="148">
        <f>'Data Reduction Engine'!$P103</f>
        <v>0</v>
      </c>
      <c r="AR21" s="148">
        <f>'Data Reduction Engine'!$P104</f>
        <v>0</v>
      </c>
      <c r="AS21" s="148">
        <f>'Data Reduction Engine'!$P105</f>
        <v>0</v>
      </c>
      <c r="AT21" s="143"/>
      <c r="AU21" s="148">
        <f t="shared" si="0"/>
        <v>0</v>
      </c>
      <c r="AV21" s="148">
        <f t="shared" si="1"/>
        <v>0</v>
      </c>
      <c r="AW21" s="148">
        <f t="shared" si="2"/>
        <v>0</v>
      </c>
      <c r="AX21" s="148">
        <f t="shared" si="3"/>
        <v>0</v>
      </c>
      <c r="AY21" s="148">
        <f>'Data Reduction Engine'!$P116</f>
        <v>0</v>
      </c>
      <c r="AZ21" s="143"/>
      <c r="BA21" s="146">
        <f>'Data Reduction Engine'!$P6</f>
        <v>0.01</v>
      </c>
      <c r="BB21" s="145">
        <f>'Data Reduction Engine'!$P52</f>
        <v>138.89102966714978</v>
      </c>
      <c r="BC21" s="150">
        <f>'Data Reduction Engine'!$P58</f>
        <v>1.0596743728784315</v>
      </c>
    </row>
    <row r="22" spans="1:55" s="151" customFormat="1" ht="12" customHeight="1" x14ac:dyDescent="0.15">
      <c r="A22" s="151" t="str">
        <f>'Raw Data Input'!A65</f>
        <v>z6</v>
      </c>
      <c r="B22" s="146">
        <f>'Data Reduction Engine'!$Q55</f>
        <v>0.52106430575115625</v>
      </c>
      <c r="C22" s="187">
        <f>'Data Reduction Engine'!$Q62*10000000000000</f>
        <v>7.7636122510720273E-2</v>
      </c>
      <c r="D22" s="197">
        <f>'Data Reduction Engine'!$Q64</f>
        <v>0.9626498399827732</v>
      </c>
      <c r="E22" s="145">
        <f>'Data Reduction Engine'!$Q66</f>
        <v>7.7754697576561282</v>
      </c>
      <c r="F22" s="139">
        <f>'Raw Data Input'!H65</f>
        <v>0.24999595425375265</v>
      </c>
      <c r="G22" s="145">
        <f>'Data Reduction Engine'!$Q65</f>
        <v>483.05534922854002</v>
      </c>
      <c r="H22" s="139"/>
      <c r="I22" s="146">
        <f>'Data Reduction Engine'!$Q56</f>
        <v>0.16732484420844915</v>
      </c>
      <c r="J22" s="148">
        <f>IF('Raw Data Input'!AT$56="off",'Data Reduction Engine'!Q$77,'Data Reduction Engine'!Q$90)</f>
        <v>4.6309530348752487E-2</v>
      </c>
      <c r="K22" s="146">
        <f>'Data Reduction Engine'!$Q78</f>
        <v>1.1585016238633983</v>
      </c>
      <c r="L22" s="148">
        <f>'Data Reduction Engine'!$Q69</f>
        <v>4.4239649543690432E-2</v>
      </c>
      <c r="M22" s="146">
        <f>'Data Reduction Engine'!$Q70</f>
        <v>1.2422219416929636</v>
      </c>
      <c r="N22" s="148">
        <f>IF('Raw Data Input'!AT$56="off",'Data Reduction Engine'!Q$71,'Data Reduction Engine'!Q$84)</f>
        <v>6.9285128473670762E-3</v>
      </c>
      <c r="O22" s="146">
        <f>'Data Reduction Engine'!$Q85</f>
        <v>0.13678923595631823</v>
      </c>
      <c r="P22" s="146">
        <f>'Data Reduction Engine'!$Q73</f>
        <v>0.65448449651995688</v>
      </c>
      <c r="Q22" s="149"/>
      <c r="R22" s="139">
        <f>'Raw Data Input'!B65</f>
        <v>13.765692710876465</v>
      </c>
      <c r="S22" s="139">
        <f>'Raw Data Input'!C65</f>
        <v>27.827407642173927</v>
      </c>
      <c r="T22" s="139">
        <f>'Raw Data Input'!D65</f>
        <v>43.954929673932369</v>
      </c>
      <c r="U22" s="139">
        <f>'Raw Data Input'!E65</f>
        <v>0.53436819986602213</v>
      </c>
      <c r="V22" s="139">
        <f>'Raw Data Input'!F65</f>
        <v>44.510046706945353</v>
      </c>
      <c r="W22" s="139">
        <f>'Raw Data Input'!G65</f>
        <v>6.0675241987988918E-2</v>
      </c>
      <c r="X22" s="150"/>
      <c r="Y22" s="148">
        <f>'Data Reduction Engine'!$Q107</f>
        <v>144.61281720430446</v>
      </c>
      <c r="Z22" s="148">
        <f>'Data Reduction Engine'!$Q108</f>
        <v>1.9426705026752111</v>
      </c>
      <c r="AA22" s="148">
        <f>'Data Reduction Engine'!$Q109</f>
        <v>4.639991552541483E-2</v>
      </c>
      <c r="AB22" s="148">
        <f>'Data Reduction Engine'!$Q110</f>
        <v>34.066073697215785</v>
      </c>
      <c r="AC22" s="148">
        <f>'Data Reduction Engine'!$Q111</f>
        <v>0</v>
      </c>
      <c r="AD22" s="148">
        <f>'Data Reduction Engine'!$Q112</f>
        <v>0</v>
      </c>
      <c r="AE22" s="148">
        <f>'Data Reduction Engine'!$Q113</f>
        <v>-0.99877530258444147</v>
      </c>
      <c r="AF22" s="148">
        <f>'Data Reduction Engine'!$Q114</f>
        <v>0</v>
      </c>
      <c r="AG22" s="148">
        <f>'Data Reduction Engine'!$Q115</f>
        <v>0</v>
      </c>
      <c r="AH22" s="143"/>
      <c r="AI22" s="148">
        <f>'Data Reduction Engine'!$Q95</f>
        <v>0</v>
      </c>
      <c r="AJ22" s="148">
        <f>'Data Reduction Engine'!$Q96</f>
        <v>0</v>
      </c>
      <c r="AK22" s="148">
        <f>'Data Reduction Engine'!$Q97</f>
        <v>0</v>
      </c>
      <c r="AL22" s="148">
        <f>'Data Reduction Engine'!$Q98</f>
        <v>0</v>
      </c>
      <c r="AM22" s="148">
        <f>'Data Reduction Engine'!$Q99</f>
        <v>0</v>
      </c>
      <c r="AO22" s="148">
        <f>'Data Reduction Engine'!$Q101</f>
        <v>0</v>
      </c>
      <c r="AP22" s="148">
        <f>'Data Reduction Engine'!$Q102</f>
        <v>2.6867487922486527E-2</v>
      </c>
      <c r="AQ22" s="148">
        <f>'Data Reduction Engine'!$Q103</f>
        <v>0</v>
      </c>
      <c r="AR22" s="148">
        <f>'Data Reduction Engine'!$Q104</f>
        <v>0</v>
      </c>
      <c r="AS22" s="148">
        <f>'Data Reduction Engine'!$Q105</f>
        <v>0</v>
      </c>
      <c r="AT22" s="143"/>
      <c r="AU22" s="148">
        <f t="shared" si="0"/>
        <v>0</v>
      </c>
      <c r="AV22" s="148">
        <f t="shared" si="1"/>
        <v>0</v>
      </c>
      <c r="AW22" s="148">
        <f t="shared" si="2"/>
        <v>0</v>
      </c>
      <c r="AX22" s="148">
        <f t="shared" si="3"/>
        <v>0</v>
      </c>
      <c r="AY22" s="148">
        <f>'Data Reduction Engine'!$Q116</f>
        <v>0</v>
      </c>
      <c r="AZ22" s="143"/>
      <c r="BA22" s="146">
        <f>'Data Reduction Engine'!$Q6</f>
        <v>1E-3</v>
      </c>
      <c r="BB22" s="145">
        <f>'Data Reduction Engine'!$Q52</f>
        <v>269.17749430511293</v>
      </c>
      <c r="BC22" s="150">
        <f>'Data Reduction Engine'!$Q58</f>
        <v>2.193831936090191</v>
      </c>
    </row>
    <row r="23" spans="1:55" s="151" customFormat="1" ht="12" customHeight="1" x14ac:dyDescent="0.15">
      <c r="A23" s="151" t="str">
        <f>'Raw Data Input'!A66</f>
        <v>z9a</v>
      </c>
      <c r="B23" s="146">
        <f>'Data Reduction Engine'!$R55</f>
        <v>0.77147742056705493</v>
      </c>
      <c r="C23" s="187">
        <f>'Data Reduction Engine'!$R62*10000000000000</f>
        <v>7.6706629336372581E-2</v>
      </c>
      <c r="D23" s="197">
        <f>'Data Reduction Engine'!$R64</f>
        <v>0.92955403353038568</v>
      </c>
      <c r="E23" s="145">
        <f>'Data Reduction Engine'!$R66</f>
        <v>4.2451445331753366</v>
      </c>
      <c r="F23" s="139">
        <f>'Raw Data Input'!H66</f>
        <v>0.48245788788863092</v>
      </c>
      <c r="G23" s="145">
        <f>'Data Reduction Engine'!$R65</f>
        <v>256.11394796670953</v>
      </c>
      <c r="H23" s="139"/>
      <c r="I23" s="146">
        <f>'Data Reduction Engine'!$R56</f>
        <v>0.24822091974130359</v>
      </c>
      <c r="J23" s="148">
        <f>IF('Raw Data Input'!AT$56="off",'Data Reduction Engine'!R$77,'Data Reduction Engine'!R$90)</f>
        <v>4.5307165688968282E-2</v>
      </c>
      <c r="K23" s="146">
        <f>'Data Reduction Engine'!$R78</f>
        <v>2.0777796716416521</v>
      </c>
      <c r="L23" s="148">
        <f>'Data Reduction Engine'!$R69</f>
        <v>2.7676138942832808E-2</v>
      </c>
      <c r="M23" s="146">
        <f>'Data Reduction Engine'!$R70</f>
        <v>2.2106136436390855</v>
      </c>
      <c r="N23" s="148">
        <f>IF('Raw Data Input'!AT$56="off",'Data Reduction Engine'!R$71,'Data Reduction Engine'!R$84)</f>
        <v>4.4303428167556617E-3</v>
      </c>
      <c r="O23" s="146">
        <f>'Data Reduction Engine'!$R85</f>
        <v>0.1744484871337304</v>
      </c>
      <c r="P23" s="146">
        <f>'Data Reduction Engine'!$R73</f>
        <v>0.79385949809343836</v>
      </c>
      <c r="Q23" s="149"/>
      <c r="R23" s="139">
        <f>'Raw Data Input'!B66</f>
        <v>-39.109587669372559</v>
      </c>
      <c r="S23" s="139">
        <f>'Raw Data Input'!C66</f>
        <v>50.387043516952879</v>
      </c>
      <c r="T23" s="139">
        <f>'Raw Data Input'!D66</f>
        <v>27.720036004049547</v>
      </c>
      <c r="U23" s="139">
        <f>'Raw Data Input'!E66</f>
        <v>0.60449398821929234</v>
      </c>
      <c r="V23" s="139">
        <f>'Raw Data Input'!F66</f>
        <v>28.496746096429668</v>
      </c>
      <c r="W23" s="139">
        <f>'Raw Data Input'!G66</f>
        <v>4.9602426477704131E-2</v>
      </c>
      <c r="X23" s="150"/>
      <c r="Y23" s="148">
        <f>'Data Reduction Engine'!$R107</f>
        <v>226.40588339890996</v>
      </c>
      <c r="Z23" s="148">
        <f>'Data Reduction Engine'!$R108</f>
        <v>3.7896238643545508</v>
      </c>
      <c r="AA23" s="148">
        <f>'Data Reduction Engine'!$R109</f>
        <v>4.5445609852212326E-2</v>
      </c>
      <c r="AB23" s="148">
        <f>'Data Reduction Engine'!$R110</f>
        <v>68.01538644940392</v>
      </c>
      <c r="AC23" s="148">
        <f>'Data Reduction Engine'!$R111</f>
        <v>0</v>
      </c>
      <c r="AD23" s="148">
        <f>'Data Reduction Engine'!$R112</f>
        <v>0</v>
      </c>
      <c r="AE23" s="148">
        <f>'Data Reduction Engine'!$R113</f>
        <v>-0.99988458836841354</v>
      </c>
      <c r="AF23" s="148">
        <f>'Data Reduction Engine'!$R114</f>
        <v>0</v>
      </c>
      <c r="AG23" s="148">
        <f>'Data Reduction Engine'!$R115</f>
        <v>0</v>
      </c>
      <c r="AH23" s="143"/>
      <c r="AI23" s="148">
        <f>'Data Reduction Engine'!$R95</f>
        <v>0</v>
      </c>
      <c r="AJ23" s="148">
        <f>'Data Reduction Engine'!$R96</f>
        <v>0</v>
      </c>
      <c r="AK23" s="148">
        <f>'Data Reduction Engine'!$R97</f>
        <v>0</v>
      </c>
      <c r="AL23" s="148">
        <f>'Data Reduction Engine'!$R98</f>
        <v>0</v>
      </c>
      <c r="AM23" s="148">
        <f>'Data Reduction Engine'!$R99</f>
        <v>0</v>
      </c>
      <c r="AO23" s="148">
        <f>'Data Reduction Engine'!$R101</f>
        <v>0</v>
      </c>
      <c r="AP23" s="148">
        <f>'Data Reduction Engine'!$R102</f>
        <v>2.3896288642217798E-2</v>
      </c>
      <c r="AQ23" s="148">
        <f>'Data Reduction Engine'!$R103</f>
        <v>0</v>
      </c>
      <c r="AR23" s="148">
        <f>'Data Reduction Engine'!$R104</f>
        <v>0</v>
      </c>
      <c r="AS23" s="148">
        <f>'Data Reduction Engine'!$R105</f>
        <v>0</v>
      </c>
      <c r="AT23" s="143"/>
      <c r="AU23" s="148">
        <f t="shared" si="0"/>
        <v>0</v>
      </c>
      <c r="AV23" s="148">
        <f t="shared" si="1"/>
        <v>0</v>
      </c>
      <c r="AW23" s="148">
        <f t="shared" si="2"/>
        <v>0</v>
      </c>
      <c r="AX23" s="148">
        <f t="shared" si="3"/>
        <v>0</v>
      </c>
      <c r="AY23" s="148">
        <f>'Data Reduction Engine'!$R116</f>
        <v>0</v>
      </c>
      <c r="AZ23" s="143"/>
      <c r="BA23" s="146">
        <f>'Data Reduction Engine'!$R6</f>
        <v>0.01</v>
      </c>
      <c r="BB23" s="145">
        <f>'Data Reduction Engine'!$R52</f>
        <v>41.637891604360107</v>
      </c>
      <c r="BC23" s="150">
        <f>'Data Reduction Engine'!$R58</f>
        <v>0.25305613531463717</v>
      </c>
    </row>
    <row r="24" spans="1:55" s="151" customFormat="1" ht="12" customHeight="1" x14ac:dyDescent="0.15">
      <c r="A24" s="151" t="str">
        <f>'Raw Data Input'!A67</f>
        <v>z9b</v>
      </c>
      <c r="B24" s="146">
        <f>'Data Reduction Engine'!$S55</f>
        <v>0.87215545350748536</v>
      </c>
      <c r="C24" s="187">
        <f>'Data Reduction Engine'!$S62*10000000000000</f>
        <v>7.3981335950458124E-2</v>
      </c>
      <c r="D24" s="197">
        <f>'Data Reduction Engine'!$S64</f>
        <v>0.92323510625796057</v>
      </c>
      <c r="E24" s="145">
        <f>'Data Reduction Engine'!$S66</f>
        <v>3.9686331302678415</v>
      </c>
      <c r="F24" s="139">
        <f>'Raw Data Input'!H67</f>
        <v>0.51042589903097413</v>
      </c>
      <c r="G24" s="145">
        <f>'Data Reduction Engine'!$S65</f>
        <v>235.16970657234114</v>
      </c>
      <c r="H24" s="139"/>
      <c r="I24" s="146">
        <f>'Data Reduction Engine'!$S56</f>
        <v>0.2806139040029042</v>
      </c>
      <c r="J24" s="148">
        <f>IF('Raw Data Input'!AT$56="off",'Data Reduction Engine'!S$77,'Data Reduction Engine'!S$90)</f>
        <v>4.5639449674190549E-2</v>
      </c>
      <c r="K24" s="146">
        <f>'Data Reduction Engine'!$S78</f>
        <v>2.2605239910641943</v>
      </c>
      <c r="L24" s="148">
        <f>'Data Reduction Engine'!$S69</f>
        <v>2.7877365061088698E-2</v>
      </c>
      <c r="M24" s="146">
        <f>'Data Reduction Engine'!$S70</f>
        <v>2.4028767016850439</v>
      </c>
      <c r="N24" s="148">
        <f>IF('Raw Data Input'!AT$56="off",'Data Reduction Engine'!S$71,'Data Reduction Engine'!S$84)</f>
        <v>4.4300644912953465E-3</v>
      </c>
      <c r="O24" s="146">
        <f>'Data Reduction Engine'!$S85</f>
        <v>0.19319410217075333</v>
      </c>
      <c r="P24" s="146">
        <f>'Data Reduction Engine'!$S73</f>
        <v>0.76718807812250278</v>
      </c>
      <c r="Q24" s="149"/>
      <c r="R24" s="139">
        <f>'Raw Data Input'!B67</f>
        <v>-21.392703056335449</v>
      </c>
      <c r="S24" s="139">
        <f>'Raw Data Input'!C67</f>
        <v>54.634016816243637</v>
      </c>
      <c r="T24" s="139">
        <f>'Raw Data Input'!D67</f>
        <v>27.918835588301953</v>
      </c>
      <c r="U24" s="139">
        <f>'Raw Data Input'!E67</f>
        <v>0.66171627611250905</v>
      </c>
      <c r="V24" s="139">
        <f>'Raw Data Input'!F67</f>
        <v>28.494959808853316</v>
      </c>
      <c r="W24" s="139">
        <f>'Raw Data Input'!G67</f>
        <v>5.4929091329414627E-2</v>
      </c>
      <c r="X24" s="150"/>
      <c r="Y24" s="148">
        <f>'Data Reduction Engine'!$S107</f>
        <v>226.03266939255761</v>
      </c>
      <c r="Z24" s="148">
        <f>'Data Reduction Engine'!$S108</f>
        <v>4.0653361002064239</v>
      </c>
      <c r="AA24" s="148">
        <f>'Data Reduction Engine'!$S109</f>
        <v>4.7140283726297277E-2</v>
      </c>
      <c r="AB24" s="148">
        <f>'Data Reduction Engine'!$S110</f>
        <v>70.191558793765012</v>
      </c>
      <c r="AC24" s="148">
        <f>'Data Reduction Engine'!$S111</f>
        <v>9.2155081648905899E-5</v>
      </c>
      <c r="AD24" s="148">
        <f>'Data Reduction Engine'!$S112</f>
        <v>2441.7098167831828</v>
      </c>
      <c r="AE24" s="148">
        <f>'Data Reduction Engine'!$S113</f>
        <v>-0.99983267734402348</v>
      </c>
      <c r="AF24" s="148">
        <f>'Data Reduction Engine'!$S114</f>
        <v>-0.99941241130325942</v>
      </c>
      <c r="AG24" s="148">
        <f>'Data Reduction Engine'!$S115</f>
        <v>0.99951088247213138</v>
      </c>
      <c r="AH24" s="143"/>
      <c r="AI24" s="148">
        <f>'Data Reduction Engine'!$S95</f>
        <v>2452742.3268279545</v>
      </c>
      <c r="AJ24" s="148">
        <f>'Data Reduction Engine'!$S96</f>
        <v>2445.7727681072279</v>
      </c>
      <c r="AK24" s="148">
        <f>'Data Reduction Engine'!$S97</f>
        <v>10851.273550055743</v>
      </c>
      <c r="AL24" s="148">
        <f>'Data Reduction Engine'!$S98</f>
        <v>2441.7098167831828</v>
      </c>
      <c r="AM24" s="148">
        <f>'Data Reduction Engine'!$S99</f>
        <v>0.9999999983770449</v>
      </c>
      <c r="AO24" s="148">
        <f>'Data Reduction Engine'!$S101</f>
        <v>17788.96378610353</v>
      </c>
      <c r="AP24" s="148">
        <f>'Data Reduction Engine'!$S102</f>
        <v>2445.7727681072279</v>
      </c>
      <c r="AQ24" s="148">
        <f>'Data Reduction Engine'!$S103</f>
        <v>511.53211394129278</v>
      </c>
      <c r="AR24" s="148">
        <f>'Data Reduction Engine'!$S104</f>
        <v>2371.5536057946742</v>
      </c>
      <c r="AS24" s="148">
        <f>'Data Reduction Engine'!$S105</f>
        <v>0.99999952529085212</v>
      </c>
      <c r="AT24" s="143"/>
      <c r="AU24" s="148">
        <f t="shared" si="0"/>
        <v>10851.273550055743</v>
      </c>
      <c r="AV24" s="148">
        <f t="shared" si="1"/>
        <v>2441.7098167831828</v>
      </c>
      <c r="AW24" s="148">
        <f t="shared" si="2"/>
        <v>511.53211394129278</v>
      </c>
      <c r="AX24" s="148">
        <f t="shared" si="3"/>
        <v>2371.5536057946742</v>
      </c>
      <c r="AY24" s="148">
        <f>'Data Reduction Engine'!$S116</f>
        <v>0.99999957163795927</v>
      </c>
      <c r="AZ24" s="143"/>
      <c r="BA24" s="146">
        <f>'Data Reduction Engine'!$S6</f>
        <v>0.01</v>
      </c>
      <c r="BB24" s="145">
        <f>'Data Reduction Engine'!$S52</f>
        <v>40.161078612891536</v>
      </c>
      <c r="BC24" s="150">
        <f>'Data Reduction Engine'!$S58</f>
        <v>0.25361130032182788</v>
      </c>
    </row>
    <row r="25" spans="1:55" s="151" customFormat="1" ht="12" customHeight="1" x14ac:dyDescent="0.15">
      <c r="A25" s="151" t="str">
        <f>'Raw Data Input'!A68</f>
        <v>z10a</v>
      </c>
      <c r="B25" s="146">
        <f>'Data Reduction Engine'!$T55</f>
        <v>0.83603167006980939</v>
      </c>
      <c r="C25" s="187">
        <f>'Data Reduction Engine'!$T62*10000000000000</f>
        <v>6.5617623717180246E-2</v>
      </c>
      <c r="D25" s="197">
        <f>'Data Reduction Engine'!$T64</f>
        <v>0.90034431227235823</v>
      </c>
      <c r="E25" s="145">
        <f>'Data Reduction Engine'!$T66</f>
        <v>2.9600364974819744</v>
      </c>
      <c r="F25" s="139">
        <f>'Raw Data Input'!H68</f>
        <v>0.60180655993823406</v>
      </c>
      <c r="G25" s="145">
        <f>'Data Reduction Engine'!$T65</f>
        <v>181.92733289912621</v>
      </c>
      <c r="H25" s="139"/>
      <c r="I25" s="146">
        <f>'Data Reduction Engine'!$T56</f>
        <v>0.26899744061353253</v>
      </c>
      <c r="J25" s="148">
        <f>IF('Raw Data Input'!AT$56="off",'Data Reduction Engine'!T$77,'Data Reduction Engine'!T$90)</f>
        <v>4.6010393628588907E-2</v>
      </c>
      <c r="K25" s="146">
        <f>'Data Reduction Engine'!$T78</f>
        <v>2.7068461171990124</v>
      </c>
      <c r="L25" s="148">
        <f>'Data Reduction Engine'!$T69</f>
        <v>2.7960610305095387E-2</v>
      </c>
      <c r="M25" s="146">
        <f>'Data Reduction Engine'!$T70</f>
        <v>2.8680575814522644</v>
      </c>
      <c r="N25" s="148">
        <f>IF('Raw Data Input'!AT$56="off",'Data Reduction Engine'!T$71,'Data Reduction Engine'!T$84)</f>
        <v>4.4074705912743343E-3</v>
      </c>
      <c r="O25" s="146">
        <f>'Data Reduction Engine'!$T85</f>
        <v>0.21388110030633911</v>
      </c>
      <c r="P25" s="146">
        <f>'Data Reduction Engine'!$T73</f>
        <v>0.77956539973174743</v>
      </c>
      <c r="Q25" s="149"/>
      <c r="R25" s="139">
        <f>'Raw Data Input'!B68</f>
        <v>-1.837611198425293</v>
      </c>
      <c r="S25" s="139">
        <f>'Raw Data Input'!C68</f>
        <v>65.178113985472564</v>
      </c>
      <c r="T25" s="139">
        <f>'Raw Data Input'!D68</f>
        <v>28.00106561915814</v>
      </c>
      <c r="U25" s="139">
        <f>'Raw Data Input'!E68</f>
        <v>0.79211447606902941</v>
      </c>
      <c r="V25" s="139">
        <f>'Raw Data Input'!F68</f>
        <v>28.349950931842137</v>
      </c>
      <c r="W25" s="139">
        <f>'Raw Data Input'!G68</f>
        <v>6.0502051934915209E-2</v>
      </c>
      <c r="X25" s="150"/>
      <c r="Y25" s="148">
        <f>'Data Reduction Engine'!$T107</f>
        <v>223.36874028052483</v>
      </c>
      <c r="Z25" s="148">
        <f>'Data Reduction Engine'!$T108</f>
        <v>4.506030838008428</v>
      </c>
      <c r="AA25" s="148">
        <f>'Data Reduction Engine'!$T109</f>
        <v>6.0880231913054784E-2</v>
      </c>
      <c r="AB25" s="148">
        <f>'Data Reduction Engine'!$T110</f>
        <v>59.228432351216476</v>
      </c>
      <c r="AC25" s="148">
        <f>'Data Reduction Engine'!$T111</f>
        <v>9.9748634526312897E-4</v>
      </c>
      <c r="AD25" s="148">
        <f>'Data Reduction Engine'!$T112</f>
        <v>245.9760868202205</v>
      </c>
      <c r="AE25" s="148">
        <f>'Data Reduction Engine'!$T113</f>
        <v>-0.99989442896305913</v>
      </c>
      <c r="AF25" s="148">
        <f>'Data Reduction Engine'!$T114</f>
        <v>-0.99940860923393626</v>
      </c>
      <c r="AG25" s="148">
        <f>'Data Reduction Engine'!$T115</f>
        <v>0.99945791674801765</v>
      </c>
      <c r="AH25" s="143"/>
      <c r="AI25" s="148">
        <f>'Data Reduction Engine'!$T95</f>
        <v>223931.62707565882</v>
      </c>
      <c r="AJ25" s="148">
        <f>'Data Reduction Engine'!$T96</f>
        <v>250.47950075821646</v>
      </c>
      <c r="AK25" s="148">
        <f>'Data Reduction Engine'!$T97</f>
        <v>1002.519989119458</v>
      </c>
      <c r="AL25" s="148">
        <f>'Data Reduction Engine'!$T98</f>
        <v>245.9760868202205</v>
      </c>
      <c r="AM25" s="148">
        <f>'Data Reduction Engine'!$T99</f>
        <v>0.99999980866691052</v>
      </c>
      <c r="AO25" s="148">
        <f>'Data Reduction Engine'!$T101</f>
        <v>1624.1052152281609</v>
      </c>
      <c r="AP25" s="148">
        <f>'Data Reduction Engine'!$T102</f>
        <v>250.47950075821646</v>
      </c>
      <c r="AQ25" s="148">
        <f>'Data Reduction Engine'!$T103</f>
        <v>61.033649435065769</v>
      </c>
      <c r="AR25" s="148">
        <f>'Data Reduction Engine'!$T104</f>
        <v>186.7899393190265</v>
      </c>
      <c r="AS25" s="148">
        <f>'Data Reduction Engine'!$T105</f>
        <v>0.99993945748952628</v>
      </c>
      <c r="AT25" s="143"/>
      <c r="AU25" s="148">
        <f t="shared" si="0"/>
        <v>1002.519989119458</v>
      </c>
      <c r="AV25" s="148">
        <f t="shared" si="1"/>
        <v>245.9760868202205</v>
      </c>
      <c r="AW25" s="148">
        <f t="shared" si="2"/>
        <v>61.033649435065769</v>
      </c>
      <c r="AX25" s="148">
        <f t="shared" si="3"/>
        <v>186.7899393190265</v>
      </c>
      <c r="AY25" s="148">
        <f>'Data Reduction Engine'!$T116</f>
        <v>0.99994551040146573</v>
      </c>
      <c r="AZ25" s="143"/>
      <c r="BA25" s="146">
        <f>'Data Reduction Engine'!$T6</f>
        <v>0.01</v>
      </c>
      <c r="BB25" s="145">
        <f>'Data Reduction Engine'!$T52</f>
        <v>35.803965191931646</v>
      </c>
      <c r="BC25" s="150">
        <f>'Data Reduction Engine'!$T58</f>
        <v>0.23831290185311438</v>
      </c>
    </row>
    <row r="26" spans="1:55" s="151" customFormat="1" ht="12" customHeight="1" x14ac:dyDescent="0.15">
      <c r="A26" s="151" t="str">
        <f>'Raw Data Input'!A69</f>
        <v>z10b</v>
      </c>
      <c r="B26" s="146">
        <f>'Data Reduction Engine'!$U55</f>
        <v>1.0802271724468435</v>
      </c>
      <c r="C26" s="187">
        <f>'Data Reduction Engine'!$U62*10000000000000</f>
        <v>3.6975176612546658E-2</v>
      </c>
      <c r="D26" s="197">
        <f>'Data Reduction Engine'!$U64</f>
        <v>0.82759250123434025</v>
      </c>
      <c r="E26" s="145">
        <f>'Data Reduction Engine'!$U66</f>
        <v>1.6685241079977875</v>
      </c>
      <c r="F26" s="139">
        <f>'Raw Data Input'!H69</f>
        <v>0.63796607344215661</v>
      </c>
      <c r="G26" s="145">
        <f>'Data Reduction Engine'!$U65</f>
        <v>105.30089206909911</v>
      </c>
      <c r="H26" s="139"/>
      <c r="I26" s="146">
        <f>'Data Reduction Engine'!$U56</f>
        <v>0.34756882072270939</v>
      </c>
      <c r="J26" s="148">
        <f>IF('Raw Data Input'!AT$56="off",'Data Reduction Engine'!U$77,'Data Reduction Engine'!U$90)</f>
        <v>4.6325020303786206E-2</v>
      </c>
      <c r="K26" s="146">
        <f>'Data Reduction Engine'!$U78</f>
        <v>4.8703804484998736</v>
      </c>
      <c r="L26" s="148">
        <f>'Data Reduction Engine'!$U69</f>
        <v>2.8147631586723631E-2</v>
      </c>
      <c r="M26" s="146">
        <f>'Data Reduction Engine'!$U70</f>
        <v>5.1024842980526133</v>
      </c>
      <c r="N26" s="148">
        <f>IF('Raw Data Input'!AT$56="off",'Data Reduction Engine'!U$71,'Data Reduction Engine'!U$84)</f>
        <v>4.4068164813380823E-3</v>
      </c>
      <c r="O26" s="146">
        <f>'Data Reduction Engine'!$U85</f>
        <v>0.34902299592383673</v>
      </c>
      <c r="P26" s="146">
        <f>'Data Reduction Engine'!$U73</f>
        <v>0.68607750377222876</v>
      </c>
      <c r="Q26" s="149"/>
      <c r="R26" s="139">
        <f>'Raw Data Input'!B69</f>
        <v>14.570355415344238</v>
      </c>
      <c r="S26" s="139">
        <f>'Raw Data Input'!C69</f>
        <v>116.91016820922003</v>
      </c>
      <c r="T26" s="139">
        <f>'Raw Data Input'!D69</f>
        <v>28.185781809306604</v>
      </c>
      <c r="U26" s="139">
        <f>'Raw Data Input'!E69</f>
        <v>1.4183975300930789</v>
      </c>
      <c r="V26" s="139">
        <f>'Raw Data Input'!F69</f>
        <v>28.345752770172297</v>
      </c>
      <c r="W26" s="139">
        <f>'Raw Data Input'!G69</f>
        <v>9.8716002690961646E-2</v>
      </c>
      <c r="X26" s="150"/>
      <c r="Y26" s="148">
        <f>'Data Reduction Engine'!$U107</f>
        <v>217.73549289713611</v>
      </c>
      <c r="Z26" s="148">
        <f>'Data Reduction Engine'!$U108</f>
        <v>7.7934793181414763</v>
      </c>
      <c r="AA26" s="148">
        <f>'Data Reduction Engine'!$U109</f>
        <v>8.0976577479714262E-2</v>
      </c>
      <c r="AB26" s="148">
        <f>'Data Reduction Engine'!$U110</f>
        <v>75.085309698128981</v>
      </c>
      <c r="AC26" s="148">
        <f>'Data Reduction Engine'!$U111</f>
        <v>2.3380614438907148E-3</v>
      </c>
      <c r="AD26" s="148">
        <f>'Data Reduction Engine'!$U112</f>
        <v>177.02379239194406</v>
      </c>
      <c r="AE26" s="148">
        <f>'Data Reduction Engine'!$U113</f>
        <v>-0.99992570092356226</v>
      </c>
      <c r="AF26" s="148">
        <f>'Data Reduction Engine'!$U114</f>
        <v>-0.99952170199710566</v>
      </c>
      <c r="AG26" s="148">
        <f>'Data Reduction Engine'!$U115</f>
        <v>0.99953519546473113</v>
      </c>
      <c r="AH26" s="143"/>
      <c r="AI26" s="148">
        <f>'Data Reduction Engine'!$U95</f>
        <v>93126.505920566167</v>
      </c>
      <c r="AJ26" s="148">
        <f>'Data Reduction Engine'!$U96</f>
        <v>184.81370125778605</v>
      </c>
      <c r="AK26" s="148">
        <f>'Data Reduction Engine'!$U97</f>
        <v>427.70475626847633</v>
      </c>
      <c r="AL26" s="148">
        <f>'Data Reduction Engine'!$U98</f>
        <v>177.02379239194406</v>
      </c>
      <c r="AM26" s="148">
        <f>'Data Reduction Engine'!$U99</f>
        <v>0.999999149666432</v>
      </c>
      <c r="AO26" s="148">
        <f>'Data Reduction Engine'!$U101</f>
        <v>675.41707224083382</v>
      </c>
      <c r="AP26" s="148">
        <f>'Data Reduction Engine'!$U102</f>
        <v>184.81370125778605</v>
      </c>
      <c r="AQ26" s="148">
        <f>'Data Reduction Engine'!$U103</f>
        <v>34.634067334416578</v>
      </c>
      <c r="AR26" s="148">
        <f>'Data Reduction Engine'!$U104</f>
        <v>101.99907113284743</v>
      </c>
      <c r="AS26" s="148">
        <f>'Data Reduction Engine'!$U105</f>
        <v>0.99972033718557807</v>
      </c>
      <c r="AT26" s="143"/>
      <c r="AU26" s="148">
        <f t="shared" si="0"/>
        <v>427.70475626847633</v>
      </c>
      <c r="AV26" s="148">
        <f t="shared" si="1"/>
        <v>177.02379239194406</v>
      </c>
      <c r="AW26" s="148">
        <f t="shared" si="2"/>
        <v>34.634067334416578</v>
      </c>
      <c r="AX26" s="148">
        <f t="shared" si="3"/>
        <v>101.99907113284743</v>
      </c>
      <c r="AY26" s="148">
        <f>'Data Reduction Engine'!$U116</f>
        <v>0.99974815019129781</v>
      </c>
      <c r="AZ26" s="143"/>
      <c r="BA26" s="146">
        <f>'Data Reduction Engine'!$U6</f>
        <v>0.01</v>
      </c>
      <c r="BB26" s="145">
        <f>'Data Reduction Engine'!$U52</f>
        <v>20.178344888814305</v>
      </c>
      <c r="BC26" s="150">
        <f>'Data Reduction Engine'!$U58</f>
        <v>0.1702384996500067</v>
      </c>
    </row>
    <row r="27" spans="1:55" s="151" customFormat="1" ht="12" customHeight="1" x14ac:dyDescent="0.15">
      <c r="A27" s="151" t="str">
        <f>'Raw Data Input'!A70</f>
        <v>z11a</v>
      </c>
      <c r="B27" s="146">
        <f>'Data Reduction Engine'!$V55</f>
        <v>0.77437670073871934</v>
      </c>
      <c r="C27" s="187">
        <f>'Data Reduction Engine'!$V62*10000000000000</f>
        <v>1.9108843654781847E-2</v>
      </c>
      <c r="D27" s="197">
        <f>'Data Reduction Engine'!$V64</f>
        <v>0.82421301181548845</v>
      </c>
      <c r="E27" s="145">
        <f>'Data Reduction Engine'!$V66</f>
        <v>1.5083617628093502</v>
      </c>
      <c r="F27" s="139">
        <f>'Raw Data Input'!H70</f>
        <v>0.33824133982032467</v>
      </c>
      <c r="G27" s="145">
        <f>'Data Reduction Engine'!$V65</f>
        <v>102.63668987789764</v>
      </c>
      <c r="H27" s="139"/>
      <c r="I27" s="146">
        <f>'Data Reduction Engine'!$V56</f>
        <v>0.24916392268898924</v>
      </c>
      <c r="J27" s="148">
        <f>IF('Raw Data Input'!AT$56="off",'Data Reduction Engine'!V$77,'Data Reduction Engine'!V$90)</f>
        <v>4.4298496118741156E-2</v>
      </c>
      <c r="K27" s="146">
        <f>'Data Reduction Engine'!$V78</f>
        <v>8.356563354737137</v>
      </c>
      <c r="L27" s="148">
        <f>'Data Reduction Engine'!$V69</f>
        <v>2.6819250859924905E-2</v>
      </c>
      <c r="M27" s="146">
        <f>'Data Reduction Engine'!$V70</f>
        <v>8.6055079439702737</v>
      </c>
      <c r="N27" s="148">
        <f>IF('Raw Data Input'!AT$56="off",'Data Reduction Engine'!V$71,'Data Reduction Engine'!V$84)</f>
        <v>4.3909287006523414E-3</v>
      </c>
      <c r="O27" s="146">
        <f>'Data Reduction Engine'!$V85</f>
        <v>0.45818848863278294</v>
      </c>
      <c r="P27" s="146">
        <f>'Data Reduction Engine'!$V73</f>
        <v>0.56238763608199704</v>
      </c>
      <c r="Q27" s="149"/>
      <c r="R27" s="139">
        <f>'Raw Data Input'!B70</f>
        <v>-94.07341480255127</v>
      </c>
      <c r="S27" s="139">
        <f>'Raw Data Input'!C70</f>
        <v>204.7959770131647</v>
      </c>
      <c r="T27" s="139">
        <f>'Raw Data Input'!D70</f>
        <v>26.873044871636242</v>
      </c>
      <c r="U27" s="139">
        <f>'Raw Data Input'!E70</f>
        <v>2.2822281661666448</v>
      </c>
      <c r="V27" s="139">
        <f>'Raw Data Input'!F70</f>
        <v>28.243782111371477</v>
      </c>
      <c r="W27" s="139">
        <f>'Raw Data Input'!G70</f>
        <v>0.12912667939152239</v>
      </c>
      <c r="X27" s="150"/>
      <c r="Y27" s="148">
        <f>'Data Reduction Engine'!$V107</f>
        <v>228.44442729755443</v>
      </c>
      <c r="Z27" s="148">
        <f>'Data Reduction Engine'!$V108</f>
        <v>10.664651494979552</v>
      </c>
      <c r="AA27" s="148">
        <f>'Data Reduction Engine'!$V109</f>
        <v>4.4435076901979884E-2</v>
      </c>
      <c r="AB27" s="148">
        <f>'Data Reduction Engine'!$V110</f>
        <v>196.00866558306407</v>
      </c>
      <c r="AC27" s="148">
        <f>'Data Reduction Engine'!$V111</f>
        <v>0</v>
      </c>
      <c r="AD27" s="148">
        <f>'Data Reduction Engine'!$V112</f>
        <v>0</v>
      </c>
      <c r="AE27" s="148">
        <f>'Data Reduction Engine'!$V113</f>
        <v>-0.99992996933550893</v>
      </c>
      <c r="AF27" s="148">
        <f>'Data Reduction Engine'!$V114</f>
        <v>0</v>
      </c>
      <c r="AG27" s="148">
        <f>'Data Reduction Engine'!$V115</f>
        <v>0</v>
      </c>
      <c r="AH27" s="143"/>
      <c r="AI27" s="148">
        <f>'Data Reduction Engine'!$V95</f>
        <v>0</v>
      </c>
      <c r="AJ27" s="148">
        <f>'Data Reduction Engine'!$V96</f>
        <v>0</v>
      </c>
      <c r="AK27" s="148">
        <f>'Data Reduction Engine'!$V97</f>
        <v>0</v>
      </c>
      <c r="AL27" s="148">
        <f>'Data Reduction Engine'!$V98</f>
        <v>0</v>
      </c>
      <c r="AM27" s="148">
        <f>'Data Reduction Engine'!$V99</f>
        <v>0</v>
      </c>
      <c r="AO27" s="148">
        <f>'Data Reduction Engine'!$V101</f>
        <v>0</v>
      </c>
      <c r="AP27" s="148">
        <f>'Data Reduction Engine'!$V102</f>
        <v>4.7191164322617052E-2</v>
      </c>
      <c r="AQ27" s="148">
        <f>'Data Reduction Engine'!$V103</f>
        <v>0</v>
      </c>
      <c r="AR27" s="148">
        <f>'Data Reduction Engine'!$V104</f>
        <v>0</v>
      </c>
      <c r="AS27" s="148">
        <f>'Data Reduction Engine'!$V105</f>
        <v>0</v>
      </c>
      <c r="AT27" s="143"/>
      <c r="AU27" s="148">
        <f t="shared" si="0"/>
        <v>0</v>
      </c>
      <c r="AV27" s="148">
        <f t="shared" si="1"/>
        <v>0</v>
      </c>
      <c r="AW27" s="148">
        <f t="shared" si="2"/>
        <v>0</v>
      </c>
      <c r="AX27" s="148">
        <f t="shared" si="3"/>
        <v>0</v>
      </c>
      <c r="AY27" s="148">
        <f>'Data Reduction Engine'!$V116</f>
        <v>0</v>
      </c>
      <c r="AZ27" s="143"/>
      <c r="BA27" s="146">
        <f>'Data Reduction Engine'!$V6</f>
        <v>0.01</v>
      </c>
      <c r="BB27" s="145">
        <f>'Data Reduction Engine'!$V52</f>
        <v>10.466057059334839</v>
      </c>
      <c r="BC27" s="150">
        <f>'Data Reduction Engine'!$V58</f>
        <v>8.4843164340670588E-2</v>
      </c>
    </row>
    <row r="28" spans="1:55" s="151" customFormat="1" ht="12" customHeight="1" x14ac:dyDescent="0.15">
      <c r="A28" s="151" t="str">
        <f>'Raw Data Input'!A71</f>
        <v>z11b</v>
      </c>
      <c r="B28" s="146">
        <f>'Data Reduction Engine'!W55</f>
        <v>0.68244100183841971</v>
      </c>
      <c r="C28" s="146">
        <f>'Data Reduction Engine'!W62*10000000000000</f>
        <v>1.6497687855911672E-2</v>
      </c>
      <c r="D28" s="146">
        <f>'Data Reduction Engine'!W64</f>
        <v>0.75226382357985344</v>
      </c>
      <c r="E28" s="146">
        <f>'Data Reduction Engine'!W66</f>
        <v>0.95451427634809116</v>
      </c>
      <c r="F28" s="139">
        <f>'Raw Data Input'!H71</f>
        <v>0.45090739253932927</v>
      </c>
      <c r="G28" s="146">
        <f>'Data Reduction Engine'!W65</f>
        <v>72.828259689714542</v>
      </c>
      <c r="H28" s="324"/>
      <c r="I28" s="146">
        <f>'Data Reduction Engine'!W56</f>
        <v>0.21958265854677156</v>
      </c>
      <c r="J28" s="148">
        <f>IF('Raw Data Input'!AT$56="off",'Data Reduction Engine'!W$77,'Data Reduction Engine'!W$90)</f>
        <v>4.4510644075914894E-2</v>
      </c>
      <c r="K28" s="146">
        <f>'Data Reduction Engine'!W78</f>
        <v>15.54177701455327</v>
      </c>
      <c r="L28" s="146">
        <f>'Data Reduction Engine'!W69</f>
        <v>2.694707837045324E-2</v>
      </c>
      <c r="M28" s="146">
        <f>'Data Reduction Engine'!W70</f>
        <v>15.831564140056829</v>
      </c>
      <c r="N28" s="148">
        <f>IF('Raw Data Input'!AT$56="off",'Data Reduction Engine'!W$71,'Data Reduction Engine'!W$84)</f>
        <v>4.3908290822692641E-3</v>
      </c>
      <c r="O28" s="146">
        <f>'Data Reduction Engine'!W85</f>
        <v>0.67493144274382122</v>
      </c>
      <c r="P28" s="146">
        <f>'Data Reduction Engine'!W73</f>
        <v>0.44618283167072509</v>
      </c>
      <c r="Q28" s="149"/>
      <c r="R28" s="139">
        <f>'Raw Data Input'!B71</f>
        <v>-82.361102104187012</v>
      </c>
      <c r="S28" s="139">
        <f>'Raw Data Input'!C71</f>
        <v>380.02741794874851</v>
      </c>
      <c r="T28" s="139">
        <f>'Raw Data Input'!D71</f>
        <v>26.999440836211921</v>
      </c>
      <c r="U28" s="139">
        <f>'Raw Data Input'!E71</f>
        <v>4.2181047179728903</v>
      </c>
      <c r="V28" s="139">
        <f>'Raw Data Input'!F71</f>
        <v>28.24314273742743</v>
      </c>
      <c r="W28" s="139">
        <f>'Raw Data Input'!G71</f>
        <v>0.19020488202391206</v>
      </c>
      <c r="X28" s="150"/>
      <c r="Y28" s="148">
        <f>'Data Reduction Engine'!$W107</f>
        <v>228.44962618611558</v>
      </c>
      <c r="Z28" s="148">
        <f>'Data Reduction Engine'!$W108</f>
        <v>16.4663070630322</v>
      </c>
      <c r="AA28" s="148">
        <f>'Data Reduction Engine'!$W109</f>
        <v>4.4647882075268375E-2</v>
      </c>
      <c r="AB28" s="148">
        <f>'Data Reduction Engine'!$W110</f>
        <v>301.13172397376775</v>
      </c>
      <c r="AC28" s="148">
        <f>'Data Reduction Engine'!$W111</f>
        <v>0</v>
      </c>
      <c r="AD28" s="148">
        <f>'Data Reduction Engine'!$W112</f>
        <v>0</v>
      </c>
      <c r="AE28" s="148">
        <f>'Data Reduction Engine'!$W113</f>
        <v>-0.99997057125985389</v>
      </c>
      <c r="AF28" s="148">
        <f>'Data Reduction Engine'!$W114</f>
        <v>0</v>
      </c>
      <c r="AG28" s="148">
        <f>'Data Reduction Engine'!$W115</f>
        <v>0</v>
      </c>
      <c r="AH28" s="137"/>
      <c r="AI28" s="148">
        <f>'Data Reduction Engine'!$W95</f>
        <v>0</v>
      </c>
      <c r="AJ28" s="148">
        <f>'Data Reduction Engine'!$W96</f>
        <v>0</v>
      </c>
      <c r="AK28" s="148">
        <f>'Data Reduction Engine'!$W97</f>
        <v>0</v>
      </c>
      <c r="AL28" s="148">
        <f>'Data Reduction Engine'!$W98</f>
        <v>0</v>
      </c>
      <c r="AM28" s="148">
        <f>'Data Reduction Engine'!$W99</f>
        <v>0</v>
      </c>
      <c r="AN28" s="182"/>
      <c r="AO28" s="148">
        <f>'Data Reduction Engine'!$W101</f>
        <v>0</v>
      </c>
      <c r="AP28" s="148">
        <f>'Data Reduction Engine'!$W102</f>
        <v>5.0852621357530374E-2</v>
      </c>
      <c r="AQ28" s="148">
        <f>'Data Reduction Engine'!$W103</f>
        <v>0</v>
      </c>
      <c r="AR28" s="148">
        <f>'Data Reduction Engine'!$W104</f>
        <v>0</v>
      </c>
      <c r="AS28" s="148">
        <f>'Data Reduction Engine'!$W105</f>
        <v>0</v>
      </c>
      <c r="AT28" s="143"/>
      <c r="AU28" s="148">
        <f t="shared" si="0"/>
        <v>0</v>
      </c>
      <c r="AV28" s="148">
        <f t="shared" si="1"/>
        <v>0</v>
      </c>
      <c r="AW28" s="148">
        <f t="shared" si="2"/>
        <v>0</v>
      </c>
      <c r="AX28" s="148">
        <f t="shared" si="3"/>
        <v>0</v>
      </c>
      <c r="AY28" s="146">
        <f>'Data Reduction Engine'!$W116</f>
        <v>0</v>
      </c>
      <c r="AZ28" s="143"/>
      <c r="BA28" s="146">
        <f>'Data Reduction Engine'!W6</f>
        <v>0.01</v>
      </c>
      <c r="BB28" s="146">
        <f>'Data Reduction Engine'!W52</f>
        <v>9.0361130718261915</v>
      </c>
      <c r="BC28" s="146">
        <f>'Data Reduction Engine'!W58</f>
        <v>8.8130493602901164E-2</v>
      </c>
    </row>
    <row r="29" spans="1:55" s="151" customFormat="1" ht="12" customHeight="1" x14ac:dyDescent="0.15">
      <c r="A29" s="151" t="str">
        <f>'Raw Data Input'!A72</f>
        <v>z12a</v>
      </c>
      <c r="B29" s="146">
        <f>'Data Reduction Engine'!X55</f>
        <v>0.60017700651084716</v>
      </c>
      <c r="C29" s="146">
        <f>'Data Reduction Engine'!X62*10000000000000</f>
        <v>7.0178221990882222E-2</v>
      </c>
      <c r="D29" s="146">
        <f>'Data Reduction Engine'!X64</f>
        <v>0.93104360912543871</v>
      </c>
      <c r="E29" s="146">
        <f>'Data Reduction Engine'!X66</f>
        <v>4.1620528901099583</v>
      </c>
      <c r="F29" s="139">
        <f>'Raw Data Input'!H72</f>
        <v>0.43137192874106972</v>
      </c>
      <c r="G29" s="146">
        <f>'Data Reduction Engine'!X65</f>
        <v>261.64644584841955</v>
      </c>
      <c r="H29" s="324"/>
      <c r="I29" s="146">
        <f>'Data Reduction Engine'!X56</f>
        <v>0.19310288764279918</v>
      </c>
      <c r="J29" s="148">
        <f>IF('Raw Data Input'!AT$56="off",'Data Reduction Engine'!X$77,'Data Reduction Engine'!X$90)</f>
        <v>4.6713274821727435E-2</v>
      </c>
      <c r="K29" s="146">
        <f>'Data Reduction Engine'!X78</f>
        <v>1.7817424357212488</v>
      </c>
      <c r="L29" s="146">
        <f>'Data Reduction Engine'!X69</f>
        <v>2.8618032975389302E-2</v>
      </c>
      <c r="M29" s="146">
        <f>'Data Reduction Engine'!X70</f>
        <v>1.9014415949129047</v>
      </c>
      <c r="N29" s="148">
        <f>IF('Raw Data Input'!AT$56="off",'Data Reduction Engine'!X$71,'Data Reduction Engine'!X$84)</f>
        <v>4.4432238191768917E-3</v>
      </c>
      <c r="O29" s="146">
        <f>'Data Reduction Engine'!X85</f>
        <v>0.166664174875223</v>
      </c>
      <c r="P29" s="146">
        <f>'Data Reduction Engine'!X73</f>
        <v>0.75575281836364161</v>
      </c>
      <c r="Q29" s="149"/>
      <c r="R29" s="139">
        <f>'Raw Data Input'!B72</f>
        <v>34.593939781188965</v>
      </c>
      <c r="S29" s="139">
        <f>'Raw Data Input'!C72</f>
        <v>42.608762855975201</v>
      </c>
      <c r="T29" s="139">
        <f>'Raw Data Input'!D72</f>
        <v>28.650236865939721</v>
      </c>
      <c r="U29" s="139">
        <f>'Raw Data Input'!E72</f>
        <v>0.53715366937155329</v>
      </c>
      <c r="V29" s="139">
        <f>'Raw Data Input'!F72</f>
        <v>28.57941558650521</v>
      </c>
      <c r="W29" s="139">
        <f>'Raw Data Input'!G72</f>
        <v>4.7526218391108897E-2</v>
      </c>
      <c r="X29" s="150"/>
      <c r="Y29" s="148">
        <f>'Data Reduction Engine'!$X107</f>
        <v>225.74752804216286</v>
      </c>
      <c r="Z29" s="148">
        <f>'Data Reduction Engine'!$X108</f>
        <v>3.7035505706805361</v>
      </c>
      <c r="AA29" s="148">
        <f>'Data Reduction Engine'!$X109</f>
        <v>4.6855600533966042E-2</v>
      </c>
      <c r="AB29" s="148">
        <f>'Data Reduction Engine'!$X110</f>
        <v>64.358612852500983</v>
      </c>
      <c r="AC29" s="148">
        <f>'Data Reduction Engine'!$X111</f>
        <v>0</v>
      </c>
      <c r="AD29" s="148">
        <f>'Data Reduction Engine'!$X112</f>
        <v>0</v>
      </c>
      <c r="AE29" s="148">
        <f>'Data Reduction Engine'!$X113</f>
        <v>-0.99989210647401294</v>
      </c>
      <c r="AF29" s="148">
        <f>'Data Reduction Engine'!$X114</f>
        <v>0</v>
      </c>
      <c r="AG29" s="148">
        <f>'Data Reduction Engine'!$X115</f>
        <v>0</v>
      </c>
      <c r="AH29" s="137"/>
      <c r="AI29" s="148">
        <f>'Data Reduction Engine'!$X95</f>
        <v>0</v>
      </c>
      <c r="AJ29" s="148">
        <f>'Data Reduction Engine'!$X96</f>
        <v>0</v>
      </c>
      <c r="AK29" s="148">
        <f>'Data Reduction Engine'!$X97</f>
        <v>0</v>
      </c>
      <c r="AL29" s="148">
        <f>'Data Reduction Engine'!$X98</f>
        <v>0</v>
      </c>
      <c r="AM29" s="148">
        <f>'Data Reduction Engine'!$X99</f>
        <v>0</v>
      </c>
      <c r="AN29" s="182"/>
      <c r="AO29" s="148">
        <f>'Data Reduction Engine'!$X101</f>
        <v>0</v>
      </c>
      <c r="AP29" s="148">
        <f>'Data Reduction Engine'!$X102</f>
        <v>2.1685978865990146E-2</v>
      </c>
      <c r="AQ29" s="148">
        <f>'Data Reduction Engine'!$X103</f>
        <v>0</v>
      </c>
      <c r="AR29" s="148">
        <f>'Data Reduction Engine'!$X104</f>
        <v>0</v>
      </c>
      <c r="AS29" s="148">
        <f>'Data Reduction Engine'!$X105</f>
        <v>0</v>
      </c>
      <c r="AT29" s="143"/>
      <c r="AU29" s="148">
        <f t="shared" si="0"/>
        <v>0</v>
      </c>
      <c r="AV29" s="148">
        <f t="shared" si="1"/>
        <v>0</v>
      </c>
      <c r="AW29" s="148">
        <f t="shared" si="2"/>
        <v>0</v>
      </c>
      <c r="AX29" s="148">
        <f t="shared" si="3"/>
        <v>0</v>
      </c>
      <c r="AY29" s="146">
        <f>'Data Reduction Engine'!$X116</f>
        <v>0</v>
      </c>
      <c r="AZ29" s="143"/>
      <c r="BA29" s="146">
        <f>'Data Reduction Engine'!X6</f>
        <v>0.01</v>
      </c>
      <c r="BB29" s="146">
        <f>'Data Reduction Engine'!X52</f>
        <v>37.983369389006491</v>
      </c>
      <c r="BC29" s="146">
        <f>'Data Reduction Engine'!X58</f>
        <v>0.22267647114701453</v>
      </c>
    </row>
    <row r="30" spans="1:55" s="151" customFormat="1" ht="12" customHeight="1" x14ac:dyDescent="0.15">
      <c r="A30" s="151" t="str">
        <f>'Raw Data Input'!A73</f>
        <v>z12b</v>
      </c>
      <c r="B30" s="146">
        <f>'Data Reduction Engine'!Y55</f>
        <v>0.66690411846245112</v>
      </c>
      <c r="C30" s="146">
        <f>'Data Reduction Engine'!Y62*10000000000000</f>
        <v>4.6055652814295349E-2</v>
      </c>
      <c r="D30" s="146">
        <f>'Data Reduction Engine'!Y64</f>
        <v>0.87143055814438786</v>
      </c>
      <c r="E30" s="146">
        <f>'Data Reduction Engine'!Y66</f>
        <v>2.1282092636190284</v>
      </c>
      <c r="F30" s="139">
        <f>'Raw Data Input'!H73</f>
        <v>0.56333433580267833</v>
      </c>
      <c r="G30" s="146">
        <f>'Data Reduction Engine'!Y65</f>
        <v>140.7842136708235</v>
      </c>
      <c r="H30" s="324"/>
      <c r="I30" s="146">
        <f>'Data Reduction Engine'!Y56</f>
        <v>0.21457668735636418</v>
      </c>
      <c r="J30" s="148">
        <f>IF('Raw Data Input'!AT$56="off",'Data Reduction Engine'!Y$77,'Data Reduction Engine'!Y$90)</f>
        <v>4.6766862875361338E-2</v>
      </c>
      <c r="K30" s="146">
        <f>'Data Reduction Engine'!Y78</f>
        <v>3.2827118481658877</v>
      </c>
      <c r="L30" s="146">
        <f>'Data Reduction Engine'!Y69</f>
        <v>2.8510511664363448E-2</v>
      </c>
      <c r="M30" s="146">
        <f>'Data Reduction Engine'!Y70</f>
        <v>3.4975253384593978</v>
      </c>
      <c r="N30" s="148">
        <f>IF('Raw Data Input'!AT$56="off",'Data Reduction Engine'!Y$71,'Data Reduction Engine'!Y$84)</f>
        <v>4.4214579428414674E-3</v>
      </c>
      <c r="O30" s="146">
        <f>'Data Reduction Engine'!Y85</f>
        <v>0.28120471138682701</v>
      </c>
      <c r="P30" s="146">
        <f>'Data Reduction Engine'!Y73</f>
        <v>0.7852912129995091</v>
      </c>
      <c r="Q30" s="149"/>
      <c r="R30" s="139">
        <f>'Raw Data Input'!B73</f>
        <v>37.336945533752441</v>
      </c>
      <c r="S30" s="139">
        <f>'Raw Data Input'!C73</f>
        <v>78.462108311185574</v>
      </c>
      <c r="T30" s="139">
        <f>'Raw Data Input'!D73</f>
        <v>28.544093457970746</v>
      </c>
      <c r="U30" s="139">
        <f>'Raw Data Input'!E73</f>
        <v>0.98443502515509373</v>
      </c>
      <c r="V30" s="139">
        <f>'Raw Data Input'!F73</f>
        <v>28.439722898217472</v>
      </c>
      <c r="W30" s="139">
        <f>'Raw Data Input'!G73</f>
        <v>7.9797689056863116E-2</v>
      </c>
      <c r="X30" s="150"/>
      <c r="Y30" s="148">
        <f>'Data Reduction Engine'!$Y107</f>
        <v>223.12971451579304</v>
      </c>
      <c r="Z30" s="148">
        <f>'Data Reduction Engine'!$Y108</f>
        <v>6.4334089592414543</v>
      </c>
      <c r="AA30" s="148">
        <f>'Data Reduction Engine'!$Y109</f>
        <v>5.9979611641618087E-2</v>
      </c>
      <c r="AB30" s="148">
        <f>'Data Reduction Engine'!$Y110</f>
        <v>85.92929462568658</v>
      </c>
      <c r="AC30" s="148">
        <f>'Data Reduction Engine'!$Y111</f>
        <v>8.8597870411829659E-4</v>
      </c>
      <c r="AD30" s="148">
        <f>'Data Reduction Engine'!$Y112</f>
        <v>396.15970732780141</v>
      </c>
      <c r="AE30" s="148">
        <f>'Data Reduction Engine'!$Y113</f>
        <v>-0.99991688020742253</v>
      </c>
      <c r="AF30" s="148">
        <f>'Data Reduction Engine'!$Y114</f>
        <v>-0.99953546378206826</v>
      </c>
      <c r="AG30" s="148">
        <f>'Data Reduction Engine'!$Y115</f>
        <v>0.99957588353490257</v>
      </c>
      <c r="AH30" s="137"/>
      <c r="AI30" s="148">
        <f>'Data Reduction Engine'!$Y95</f>
        <v>251845.46025611984</v>
      </c>
      <c r="AJ30" s="148">
        <f>'Data Reduction Engine'!$Y96</f>
        <v>402.59017548167259</v>
      </c>
      <c r="AK30" s="148">
        <f>'Data Reduction Engine'!$Y97</f>
        <v>1128.6953008596008</v>
      </c>
      <c r="AL30" s="148">
        <f>'Data Reduction Engine'!$Y98</f>
        <v>396.15970732780141</v>
      </c>
      <c r="AM30" s="148">
        <f>'Data Reduction Engine'!$Y99</f>
        <v>0.99999988140272922</v>
      </c>
      <c r="AN30" s="182"/>
      <c r="AO30" s="148">
        <f>'Data Reduction Engine'!$Y101</f>
        <v>1826.555412359442</v>
      </c>
      <c r="AP30" s="148">
        <f>'Data Reduction Engine'!$Y102</f>
        <v>402.59017548167259</v>
      </c>
      <c r="AQ30" s="148">
        <f>'Data Reduction Engine'!$Y103</f>
        <v>67.698705807278145</v>
      </c>
      <c r="AR30" s="148">
        <f>'Data Reduction Engine'!$Y104</f>
        <v>310.2769477044659</v>
      </c>
      <c r="AS30" s="148">
        <f>'Data Reduction Engine'!$Y105</f>
        <v>0.99996379485909248</v>
      </c>
      <c r="AT30" s="143"/>
      <c r="AU30" s="148">
        <f t="shared" si="0"/>
        <v>1128.6953008596008</v>
      </c>
      <c r="AV30" s="148">
        <f t="shared" si="1"/>
        <v>396.15970732780141</v>
      </c>
      <c r="AW30" s="148">
        <f t="shared" si="2"/>
        <v>67.698705807278145</v>
      </c>
      <c r="AX30" s="148">
        <f t="shared" si="3"/>
        <v>310.2769477044659</v>
      </c>
      <c r="AY30" s="146">
        <f>'Data Reduction Engine'!$Y116</f>
        <v>0.9999674775269618</v>
      </c>
      <c r="AZ30" s="143"/>
      <c r="BA30" s="146">
        <f>'Data Reduction Engine'!Y6</f>
        <v>0.01</v>
      </c>
      <c r="BB30" s="146">
        <f>'Data Reduction Engine'!Y52</f>
        <v>25.050319816977186</v>
      </c>
      <c r="BC30" s="146">
        <f>'Data Reduction Engine'!Y58</f>
        <v>0.17622046283655438</v>
      </c>
    </row>
    <row r="31" spans="1:55" s="151" customFormat="1" ht="12" customHeight="1" x14ac:dyDescent="0.15">
      <c r="A31" s="151" t="str">
        <f>'Raw Data Input'!A74</f>
        <v>z13</v>
      </c>
      <c r="B31" s="146">
        <f>'Data Reduction Engine'!Z55</f>
        <v>0.46194853657262552</v>
      </c>
      <c r="C31" s="146">
        <f>'Data Reduction Engine'!Z62*10000000000000</f>
        <v>4.0849199077937916E-2</v>
      </c>
      <c r="D31" s="146">
        <f>'Data Reduction Engine'!Z64</f>
        <v>0.86894812818059974</v>
      </c>
      <c r="E31" s="146">
        <f>'Data Reduction Engine'!Z66</f>
        <v>1.9690921793055642</v>
      </c>
      <c r="F31" s="139">
        <f>'Raw Data Input'!H74</f>
        <v>0.5111954604225678</v>
      </c>
      <c r="G31" s="146">
        <f>'Data Reduction Engine'!Z65</f>
        <v>137.75874889739359</v>
      </c>
      <c r="H31" s="324"/>
      <c r="I31" s="146">
        <f>'Data Reduction Engine'!Z56</f>
        <v>0.14863386274772664</v>
      </c>
      <c r="J31" s="148">
        <f>IF('Raw Data Input'!AT$56="off",'Data Reduction Engine'!Z$77,'Data Reduction Engine'!Z$90)</f>
        <v>4.5897701357723038E-2</v>
      </c>
      <c r="K31" s="146">
        <f>'Data Reduction Engine'!Z78</f>
        <v>4.137181494509643</v>
      </c>
      <c r="L31" s="146">
        <f>'Data Reduction Engine'!Z69</f>
        <v>2.7909705290992012E-2</v>
      </c>
      <c r="M31" s="146">
        <f>'Data Reduction Engine'!Z70</f>
        <v>4.3543748260744932</v>
      </c>
      <c r="N31" s="148">
        <f>IF('Raw Data Input'!AT$56="off",'Data Reduction Engine'!Z$71,'Data Reduction Engine'!Z$84)</f>
        <v>4.4102482884234486E-3</v>
      </c>
      <c r="O31" s="146">
        <f>'Data Reduction Engine'!Z85</f>
        <v>0.31525994313723893</v>
      </c>
      <c r="P31" s="146">
        <f>'Data Reduction Engine'!Z73</f>
        <v>0.71091583322817853</v>
      </c>
      <c r="Q31" s="149"/>
      <c r="R31" s="139">
        <f>'Raw Data Input'!B74</f>
        <v>-7.7527761459350586</v>
      </c>
      <c r="S31" s="139">
        <f>'Raw Data Input'!C74</f>
        <v>99.730987918245987</v>
      </c>
      <c r="T31" s="139">
        <f>'Raw Data Input'!D74</f>
        <v>27.950782205593807</v>
      </c>
      <c r="U31" s="139">
        <f>'Raw Data Input'!E74</f>
        <v>1.2004829749152219</v>
      </c>
      <c r="V31" s="139">
        <f>'Raw Data Input'!F74</f>
        <v>28.367778518811708</v>
      </c>
      <c r="W31" s="139">
        <f>'Raw Data Input'!G74</f>
        <v>8.9235755150173054E-2</v>
      </c>
      <c r="X31" s="150"/>
      <c r="Y31" s="148">
        <f>'Data Reduction Engine'!$Z107</f>
        <v>226.68489367312006</v>
      </c>
      <c r="Z31" s="148">
        <f>'Data Reduction Engine'!$Z108</f>
        <v>7.3501717851353376</v>
      </c>
      <c r="AA31" s="148">
        <f>'Data Reduction Engine'!$Z109</f>
        <v>4.8680990570171612E-2</v>
      </c>
      <c r="AB31" s="148">
        <f>'Data Reduction Engine'!$Z110</f>
        <v>122.66677289193287</v>
      </c>
      <c r="AC31" s="148">
        <f>'Data Reduction Engine'!$Z111</f>
        <v>1.7893065435864832E-4</v>
      </c>
      <c r="AD31" s="148">
        <f>'Data Reduction Engine'!$Z112</f>
        <v>2270.137797732802</v>
      </c>
      <c r="AE31" s="148">
        <f>'Data Reduction Engine'!$Z113</f>
        <v>-0.99992033610373621</v>
      </c>
      <c r="AF31" s="148">
        <f>'Data Reduction Engine'!$Z114</f>
        <v>-0.99956567044616462</v>
      </c>
      <c r="AG31" s="148">
        <f>'Data Reduction Engine'!$Z115</f>
        <v>0.99959628819027579</v>
      </c>
      <c r="AH31" s="137"/>
      <c r="AI31" s="148">
        <f>'Data Reduction Engine'!$Z95</f>
        <v>1266886.8533770251</v>
      </c>
      <c r="AJ31" s="148">
        <f>'Data Reduction Engine'!$Z96</f>
        <v>2277.4847874217535</v>
      </c>
      <c r="AK31" s="148">
        <f>'Data Reduction Engine'!$Z97</f>
        <v>5588.7572958605606</v>
      </c>
      <c r="AL31" s="148">
        <f>'Data Reduction Engine'!$Z98</f>
        <v>2270.137797732802</v>
      </c>
      <c r="AM31" s="148">
        <f>'Data Reduction Engine'!$Z99</f>
        <v>0.99999999547718255</v>
      </c>
      <c r="AN31" s="182"/>
      <c r="AO31" s="148">
        <f>'Data Reduction Engine'!$Z101</f>
        <v>9188.329368849907</v>
      </c>
      <c r="AP31" s="148">
        <f>'Data Reduction Engine'!$Z102</f>
        <v>2277.4847874217535</v>
      </c>
      <c r="AQ31" s="148">
        <f>'Data Reduction Engine'!$Z103</f>
        <v>272.06624121876575</v>
      </c>
      <c r="AR31" s="148">
        <f>'Data Reduction Engine'!$Z104</f>
        <v>2147.5233750001607</v>
      </c>
      <c r="AS31" s="148">
        <f>'Data Reduction Engine'!$Z105</f>
        <v>0.99999853877817058</v>
      </c>
      <c r="AT31" s="143"/>
      <c r="AU31" s="148">
        <f t="shared" si="0"/>
        <v>5588.7572958605606</v>
      </c>
      <c r="AV31" s="148">
        <f t="shared" si="1"/>
        <v>2270.137797732802</v>
      </c>
      <c r="AW31" s="148">
        <f t="shared" si="2"/>
        <v>272.06624121876575</v>
      </c>
      <c r="AX31" s="148">
        <f t="shared" si="3"/>
        <v>2147.5233750001607</v>
      </c>
      <c r="AY31" s="146">
        <f>'Data Reduction Engine'!$Z116</f>
        <v>0.99999868307165019</v>
      </c>
      <c r="AZ31" s="143"/>
      <c r="BA31" s="146">
        <f>'Data Reduction Engine'!Z6</f>
        <v>0.01</v>
      </c>
      <c r="BB31" s="146">
        <f>'Data Reduction Engine'!Z52</f>
        <v>22.27510276015844</v>
      </c>
      <c r="BC31" s="146">
        <f>'Data Reduction Engine'!Z58</f>
        <v>0.15177825748150722</v>
      </c>
    </row>
    <row r="32" spans="1:55" s="151" customFormat="1" ht="12" customHeight="1" x14ac:dyDescent="0.15">
      <c r="A32" s="151" t="str">
        <f>'Raw Data Input'!A75</f>
        <v>z1</v>
      </c>
      <c r="B32" s="146">
        <f>'Data Reduction Engine'!AA55</f>
        <v>0.41203957520387996</v>
      </c>
      <c r="C32" s="146">
        <f>'Data Reduction Engine'!AA62*10000000000000</f>
        <v>53.93874610213917</v>
      </c>
      <c r="D32" s="146">
        <f>'Data Reduction Engine'!AA64</f>
        <v>0.99968214751157269</v>
      </c>
      <c r="E32" s="146">
        <f>'Data Reduction Engine'!AA66</f>
        <v>1012.6765523101838</v>
      </c>
      <c r="F32" s="139">
        <f>'Raw Data Input'!H75</f>
        <v>1.4145959942277735</v>
      </c>
      <c r="G32" s="146">
        <f>'Data Reduction Engine'!AA65</f>
        <v>57829.475122333897</v>
      </c>
      <c r="H32" s="324"/>
      <c r="I32" s="146">
        <f>'Data Reduction Engine'!AA56</f>
        <v>0.11486589209814121</v>
      </c>
      <c r="J32" s="148">
        <f>IF('Raw Data Input'!AT$56="off",'Data Reduction Engine'!AA$77,'Data Reduction Engine'!AA$90)</f>
        <v>0.17248103230713305</v>
      </c>
      <c r="K32" s="146">
        <f>'Data Reduction Engine'!AA78</f>
        <v>4.0208375734530399E-2</v>
      </c>
      <c r="L32" s="146">
        <f>'Data Reduction Engine'!AA69</f>
        <v>11.663500942396379</v>
      </c>
      <c r="M32" s="146">
        <f>'Data Reduction Engine'!AA70</f>
        <v>9.0586330295022832E-2</v>
      </c>
      <c r="N32" s="148">
        <f>IF('Raw Data Input'!AT$56="off",'Data Reduction Engine'!AA$71,'Data Reduction Engine'!AA$84)</f>
        <v>0.49044048277507019</v>
      </c>
      <c r="O32" s="146">
        <f>'Data Reduction Engine'!AA85</f>
        <v>5.8170905656504984E-2</v>
      </c>
      <c r="P32" s="146">
        <f>'Data Reduction Engine'!AA73</f>
        <v>0.94629615307582715</v>
      </c>
      <c r="Q32" s="149"/>
      <c r="R32" s="139">
        <f>'Raw Data Input'!B75</f>
        <v>2581.8651914596558</v>
      </c>
      <c r="S32" s="139">
        <f>'Raw Data Input'!C75</f>
        <v>0.67139293937096478</v>
      </c>
      <c r="T32" s="139">
        <f>'Raw Data Input'!D75</f>
        <v>2577.7772393982664</v>
      </c>
      <c r="U32" s="139">
        <f>'Raw Data Input'!E75</f>
        <v>0.84716444230561327</v>
      </c>
      <c r="V32" s="139">
        <f>'Raw Data Input'!F75</f>
        <v>2572.5814813353231</v>
      </c>
      <c r="W32" s="139">
        <f>'Raw Data Input'!G75</f>
        <v>1.2339447197435789</v>
      </c>
      <c r="X32" s="150"/>
      <c r="Y32" s="148">
        <f>'Data Reduction Engine'!$AA107</f>
        <v>2.0386190185818931</v>
      </c>
      <c r="Z32" s="148">
        <f>'Data Reduction Engine'!$AA108</f>
        <v>5.8412501676547553E-2</v>
      </c>
      <c r="AA32" s="148">
        <f>'Data Reduction Engine'!$AA109</f>
        <v>0.17262369587400053</v>
      </c>
      <c r="AB32" s="148">
        <f>'Data Reduction Engine'!$AA110</f>
        <v>4.7572254721619661E-2</v>
      </c>
      <c r="AC32" s="148">
        <f>'Data Reduction Engine'!$AA111</f>
        <v>1.1104798559189255E-5</v>
      </c>
      <c r="AD32" s="148">
        <f>'Data Reduction Engine'!$AA112</f>
        <v>27.883624772161912</v>
      </c>
      <c r="AE32" s="148">
        <f>'Data Reduction Engine'!$AA113</f>
        <v>-0.61972442429726704</v>
      </c>
      <c r="AF32" s="148">
        <f>'Data Reduction Engine'!$AA114</f>
        <v>-9.2972921107169884E-2</v>
      </c>
      <c r="AG32" s="148">
        <f>'Data Reduction Engine'!$AA115</f>
        <v>0.46395993571697858</v>
      </c>
      <c r="AH32" s="137"/>
      <c r="AI32" s="148">
        <f>'Data Reduction Engine'!$AA95</f>
        <v>183580.00892280298</v>
      </c>
      <c r="AJ32" s="148">
        <f>'Data Reduction Engine'!$AA96</f>
        <v>27.889116195557445</v>
      </c>
      <c r="AK32" s="148">
        <f>'Data Reduction Engine'!$AA97</f>
        <v>90051.160736499529</v>
      </c>
      <c r="AL32" s="148">
        <f>'Data Reduction Engine'!$AA98</f>
        <v>27.883624772161912</v>
      </c>
      <c r="AM32" s="148">
        <f>'Data Reduction Engine'!$AA99</f>
        <v>0.99999782558597194</v>
      </c>
      <c r="AN32" s="182"/>
      <c r="AO32" s="148">
        <f>'Data Reduction Engine'!$AA101</f>
        <v>1331.4477003394472</v>
      </c>
      <c r="AP32" s="148">
        <f>'Data Reduction Engine'!$AA102</f>
        <v>27.889116195557445</v>
      </c>
      <c r="AQ32" s="148">
        <f>'Data Reduction Engine'!$AA103</f>
        <v>15544.964184078231</v>
      </c>
      <c r="AR32" s="148">
        <f>'Data Reduction Engine'!$AA104</f>
        <v>27.861585023114294</v>
      </c>
      <c r="AS32" s="148">
        <f>'Data Reduction Engine'!$AA105</f>
        <v>0.9999946196935614</v>
      </c>
      <c r="AT32" s="143"/>
      <c r="AU32" s="148">
        <f t="shared" si="0"/>
        <v>90051.160736499529</v>
      </c>
      <c r="AV32" s="148">
        <f t="shared" si="1"/>
        <v>27.883624772161912</v>
      </c>
      <c r="AW32" s="148">
        <f t="shared" si="2"/>
        <v>15544.964184078231</v>
      </c>
      <c r="AX32" s="148">
        <f t="shared" si="3"/>
        <v>27.861585023114294</v>
      </c>
      <c r="AY32" s="146">
        <f>'Data Reduction Engine'!$AA116</f>
        <v>0.99999885608823369</v>
      </c>
      <c r="AZ32" s="143"/>
      <c r="BA32" s="146">
        <f>'Data Reduction Engine'!AA6</f>
        <v>0.01</v>
      </c>
      <c r="BB32" s="146">
        <f>'Data Reduction Engine'!AA52</f>
        <v>263.69057625909869</v>
      </c>
      <c r="BC32" s="146">
        <f>'Data Reduction Engine'!AA58</f>
        <v>143.38348852798731</v>
      </c>
    </row>
    <row r="33" spans="1:79" s="151" customFormat="1" ht="12" customHeight="1" x14ac:dyDescent="0.15">
      <c r="A33" s="151" t="str">
        <f>'Raw Data Input'!A76</f>
        <v>z2</v>
      </c>
      <c r="B33" s="146">
        <f>'Data Reduction Engine'!AB55</f>
        <v>0.33617793657742934</v>
      </c>
      <c r="C33" s="146">
        <f>'Data Reduction Engine'!AB62*10000000000000</f>
        <v>66.398337174683689</v>
      </c>
      <c r="D33" s="146">
        <f>'Data Reduction Engine'!AB64</f>
        <v>0.99977148245367231</v>
      </c>
      <c r="E33" s="146">
        <f>'Data Reduction Engine'!AB66</f>
        <v>1384.8850697136161</v>
      </c>
      <c r="F33" s="139">
        <f>'Raw Data Input'!H76</f>
        <v>1.252370842396731</v>
      </c>
      <c r="G33" s="146">
        <f>'Data Reduction Engine'!AB65</f>
        <v>80330.608441980221</v>
      </c>
      <c r="H33" s="324"/>
      <c r="I33" s="146">
        <f>'Data Reduction Engine'!AB56</f>
        <v>9.3687489114070127E-2</v>
      </c>
      <c r="J33" s="148">
        <f>IF('Raw Data Input'!AT$56="off",'Data Reduction Engine'!AB$77,'Data Reduction Engine'!AB$90)</f>
        <v>0.17263507470686937</v>
      </c>
      <c r="K33" s="146">
        <f>'Data Reduction Engine'!AB78</f>
        <v>4.0295955521946876E-2</v>
      </c>
      <c r="L33" s="146">
        <f>'Data Reduction Engine'!AB69</f>
        <v>11.704752517214565</v>
      </c>
      <c r="M33" s="146">
        <f>'Data Reduction Engine'!AB70</f>
        <v>9.7704808657056011E-2</v>
      </c>
      <c r="N33" s="148">
        <f>IF('Raw Data Input'!AT$56="off",'Data Reduction Engine'!AB$71,'Data Reduction Engine'!AB$84)</f>
        <v>0.49173590890573865</v>
      </c>
      <c r="O33" s="146">
        <f>'Data Reduction Engine'!AB85</f>
        <v>6.8745898020845811E-2</v>
      </c>
      <c r="P33" s="146">
        <f>'Data Reduction Engine'!AB73</f>
        <v>0.94155019522986261</v>
      </c>
      <c r="Q33" s="149"/>
      <c r="R33" s="139">
        <f>'Raw Data Input'!B76</f>
        <v>2583.3553075790405</v>
      </c>
      <c r="S33" s="139">
        <f>'Raw Data Input'!C76</f>
        <v>0.67275810061018748</v>
      </c>
      <c r="T33" s="139">
        <f>'Raw Data Input'!D76</f>
        <v>2581.079491717388</v>
      </c>
      <c r="U33" s="139">
        <f>'Raw Data Input'!E76</f>
        <v>0.91399090721536602</v>
      </c>
      <c r="V33" s="139">
        <f>'Raw Data Input'!F76</f>
        <v>2578.1819910363379</v>
      </c>
      <c r="W33" s="139">
        <f>'Raw Data Input'!G76</f>
        <v>1.4608478123968862</v>
      </c>
      <c r="X33" s="150"/>
      <c r="Y33" s="148">
        <f>'Data Reduction Engine'!$AB107</f>
        <v>2.0333874508183118</v>
      </c>
      <c r="Z33" s="148">
        <f>'Data Reduction Engine'!$AB108</f>
        <v>6.8867826212715491E-2</v>
      </c>
      <c r="AA33" s="148">
        <f>'Data Reduction Engine'!$AB109</f>
        <v>0.1727319626930168</v>
      </c>
      <c r="AB33" s="148">
        <f>'Data Reduction Engine'!$AB110</f>
        <v>4.6738997324078942E-2</v>
      </c>
      <c r="AC33" s="148">
        <f>'Data Reduction Engine'!$AB111</f>
        <v>7.4214147094949439E-6</v>
      </c>
      <c r="AD33" s="148">
        <f>'Data Reduction Engine'!$AB112</f>
        <v>33.90903262633671</v>
      </c>
      <c r="AE33" s="148">
        <f>'Data Reduction Engine'!$AB113</f>
        <v>-0.52193029848379324</v>
      </c>
      <c r="AF33" s="148">
        <f>'Data Reduction Engine'!$AB114</f>
        <v>-6.4727056044507916E-2</v>
      </c>
      <c r="AG33" s="148">
        <f>'Data Reduction Engine'!$AB115</f>
        <v>0.38288453289217284</v>
      </c>
      <c r="AH33" s="137"/>
      <c r="AI33" s="148">
        <f>'Data Reduction Engine'!$AB95</f>
        <v>273989.19618611259</v>
      </c>
      <c r="AJ33" s="148">
        <f>'Data Reduction Engine'!$AB96</f>
        <v>33.913559869600796</v>
      </c>
      <c r="AK33" s="148">
        <f>'Data Reduction Engine'!$AB97</f>
        <v>134745.19874500504</v>
      </c>
      <c r="AL33" s="148">
        <f>'Data Reduction Engine'!$AB98</f>
        <v>33.90903262633671</v>
      </c>
      <c r="AM33" s="148">
        <f>'Data Reduction Engine'!$AB99</f>
        <v>0.99999794679127119</v>
      </c>
      <c r="AN33" s="182"/>
      <c r="AO33" s="148">
        <f>'Data Reduction Engine'!$AB101</f>
        <v>1987.156920409868</v>
      </c>
      <c r="AP33" s="148">
        <f>'Data Reduction Engine'!$AB102</f>
        <v>33.913559869600796</v>
      </c>
      <c r="AQ33" s="148">
        <f>'Data Reduction Engine'!$AB103</f>
        <v>23274.802642685343</v>
      </c>
      <c r="AR33" s="148">
        <f>'Data Reduction Engine'!$AB104</f>
        <v>33.891164491112782</v>
      </c>
      <c r="AS33" s="148">
        <f>'Data Reduction Engine'!$AB105</f>
        <v>0.99999574299386385</v>
      </c>
      <c r="AT33" s="143"/>
      <c r="AU33" s="148">
        <f t="shared" si="0"/>
        <v>134745.19874500504</v>
      </c>
      <c r="AV33" s="148">
        <f t="shared" si="1"/>
        <v>33.90903262633671</v>
      </c>
      <c r="AW33" s="148">
        <f t="shared" si="2"/>
        <v>23274.802642685343</v>
      </c>
      <c r="AX33" s="148">
        <f t="shared" si="3"/>
        <v>33.891164491112782</v>
      </c>
      <c r="AY33" s="146">
        <f>'Data Reduction Engine'!$AB116</f>
        <v>0.99999918846298819</v>
      </c>
      <c r="AZ33" s="143"/>
      <c r="BA33" s="146">
        <f>'Data Reduction Engine'!AB6</f>
        <v>0.01</v>
      </c>
      <c r="BB33" s="146">
        <f>'Data Reduction Engine'!AB52</f>
        <v>323.74667925517099</v>
      </c>
      <c r="BC33" s="146">
        <f>'Data Reduction Engine'!AB58</f>
        <v>173.55206931381491</v>
      </c>
    </row>
    <row r="34" spans="1:79" s="151" customFormat="1" ht="12" customHeight="1" x14ac:dyDescent="0.15">
      <c r="A34" s="151" t="str">
        <f>'Raw Data Input'!A77</f>
        <v>z3</v>
      </c>
      <c r="B34" s="146">
        <f>'Data Reduction Engine'!AC55</f>
        <v>0.38818158249728779</v>
      </c>
      <c r="C34" s="146">
        <f>'Data Reduction Engine'!AC62*10000000000000</f>
        <v>31.006604920946806</v>
      </c>
      <c r="D34" s="146">
        <f>'Data Reduction Engine'!AC64</f>
        <v>0.99972031365069203</v>
      </c>
      <c r="E34" s="146">
        <f>'Data Reduction Engine'!AC66</f>
        <v>1141.2579958569434</v>
      </c>
      <c r="F34" s="139">
        <f>'Raw Data Input'!H77</f>
        <v>0.71784940001906239</v>
      </c>
      <c r="G34" s="146">
        <f>'Data Reduction Engine'!AC65</f>
        <v>65073.917135760763</v>
      </c>
      <c r="H34" s="324"/>
      <c r="I34" s="146">
        <f>'Data Reduction Engine'!AC56</f>
        <v>0.10818652572770492</v>
      </c>
      <c r="J34" s="148">
        <f>IF('Raw Data Input'!AT$56="off",'Data Reduction Engine'!AC$77,'Data Reduction Engine'!AC$90)</f>
        <v>0.17264475434158366</v>
      </c>
      <c r="K34" s="146">
        <f>'Data Reduction Engine'!AC78</f>
        <v>4.0463192714297117E-2</v>
      </c>
      <c r="L34" s="146">
        <f>'Data Reduction Engine'!AC69</f>
        <v>11.699702693130112</v>
      </c>
      <c r="M34" s="146">
        <f>'Data Reduction Engine'!AC70</f>
        <v>8.8313192491927164E-2</v>
      </c>
      <c r="N34" s="148">
        <f>IF('Raw Data Input'!AT$56="off",'Data Reduction Engine'!AC$71,'Data Reduction Engine'!AC$84)</f>
        <v>0.49149619933615879</v>
      </c>
      <c r="O34" s="146">
        <f>'Data Reduction Engine'!AC85</f>
        <v>5.4399569559332894E-2</v>
      </c>
      <c r="P34" s="146">
        <f>'Data Reduction Engine'!AC73</f>
        <v>0.94929875746446046</v>
      </c>
      <c r="Q34" s="149"/>
      <c r="R34" s="139">
        <f>'Raw Data Input'!B77</f>
        <v>2583.4482908248901</v>
      </c>
      <c r="S34" s="139">
        <f>'Raw Data Input'!C77</f>
        <v>0.67554380066341124</v>
      </c>
      <c r="T34" s="139">
        <f>'Raw Data Input'!D77</f>
        <v>2580.6758219025965</v>
      </c>
      <c r="U34" s="139">
        <f>'Raw Data Input'!E77</f>
        <v>0.82610788460628692</v>
      </c>
      <c r="V34" s="139">
        <f>'Raw Data Input'!F77</f>
        <v>2577.1460225858882</v>
      </c>
      <c r="W34" s="139">
        <f>'Raw Data Input'!G77</f>
        <v>1.1556110385914318</v>
      </c>
      <c r="X34" s="150"/>
      <c r="Y34" s="146">
        <f>'Data Reduction Engine'!$AC107</f>
        <v>2.034485722404241</v>
      </c>
      <c r="Z34" s="146">
        <f>'Data Reduction Engine'!$AC108</f>
        <v>5.5204950834513045E-2</v>
      </c>
      <c r="AA34" s="146">
        <f>'Data Reduction Engine'!$AC109</f>
        <v>0.17270663491350743</v>
      </c>
      <c r="AB34" s="146">
        <f>'Data Reduction Engine'!$AC110</f>
        <v>5.5867564739084344E-2</v>
      </c>
      <c r="AC34" s="146">
        <f>'Data Reduction Engine'!$AC111</f>
        <v>4.6018964487670533E-6</v>
      </c>
      <c r="AD34" s="146">
        <f>'Data Reduction Engine'!$AC112</f>
        <v>117.06041509941427</v>
      </c>
      <c r="AE34" s="146">
        <f>'Data Reduction Engine'!$AC113</f>
        <v>-0.64083014460811449</v>
      </c>
      <c r="AF34" s="146">
        <f>'Data Reduction Engine'!$AC114</f>
        <v>-0.17436456575408676</v>
      </c>
      <c r="AG34" s="146">
        <f>'Data Reduction Engine'!$AC115</f>
        <v>0.69096083608916681</v>
      </c>
      <c r="AH34" s="143"/>
      <c r="AI34" s="146">
        <f>'Data Reduction Engine'!$AC95</f>
        <v>442097.24079065782</v>
      </c>
      <c r="AJ34" s="146">
        <f>'Data Reduction Engine'!$AC96</f>
        <v>117.07005350704775</v>
      </c>
      <c r="AK34" s="146">
        <f>'Data Reduction Engine'!$AC97</f>
        <v>217301.71704926595</v>
      </c>
      <c r="AL34" s="146">
        <f>'Data Reduction Engine'!$AC98</f>
        <v>117.06041509941427</v>
      </c>
      <c r="AM34" s="146">
        <f>'Data Reduction Engine'!$AC99</f>
        <v>0.99999989219827468</v>
      </c>
      <c r="AO34" s="146">
        <f>'Data Reduction Engine'!$AC101</f>
        <v>3206.3913605356674</v>
      </c>
      <c r="AP34" s="146">
        <f>'Data Reduction Engine'!$AC102</f>
        <v>117.07005350704775</v>
      </c>
      <c r="AQ34" s="146">
        <f>'Data Reduction Engine'!$AC103</f>
        <v>37529.448312505869</v>
      </c>
      <c r="AR34" s="146">
        <f>'Data Reduction Engine'!$AC104</f>
        <v>117.02181976915995</v>
      </c>
      <c r="AS34" s="146">
        <f>'Data Reduction Engine'!$AC105</f>
        <v>0.99999971550098299</v>
      </c>
      <c r="AT34" s="143"/>
      <c r="AU34" s="148">
        <f t="shared" si="0"/>
        <v>217301.71704926595</v>
      </c>
      <c r="AV34" s="148">
        <f t="shared" si="1"/>
        <v>117.06041509941427</v>
      </c>
      <c r="AW34" s="148">
        <f t="shared" si="2"/>
        <v>37529.448312505869</v>
      </c>
      <c r="AX34" s="148">
        <f t="shared" si="3"/>
        <v>117.02181976915995</v>
      </c>
      <c r="AY34" s="146">
        <f>'Data Reduction Engine'!$AC116</f>
        <v>0.99999994044710561</v>
      </c>
      <c r="AZ34" s="143"/>
      <c r="BA34" s="146">
        <f>'Data Reduction Engine'!AC6</f>
        <v>0.01</v>
      </c>
      <c r="BB34" s="146">
        <f>'Data Reduction Engine'!AC52</f>
        <v>151.25651864307935</v>
      </c>
      <c r="BC34" s="146">
        <f>'Data Reduction Engine'!AC58</f>
        <v>81.994025464986805</v>
      </c>
    </row>
    <row r="35" spans="1:79" s="151" customFormat="1" ht="12" customHeight="1" x14ac:dyDescent="0.15">
      <c r="A35" s="151" t="str">
        <f>'Raw Data Input'!A78</f>
        <v>z4</v>
      </c>
      <c r="B35" s="146">
        <f>'Data Reduction Engine'!AD55</f>
        <v>0.46263384440740607</v>
      </c>
      <c r="C35" s="146">
        <f>'Data Reduction Engine'!AD62*10000000000000</f>
        <v>76.024828094883162</v>
      </c>
      <c r="D35" s="146">
        <f>'Data Reduction Engine'!AD64</f>
        <v>0.99948239275146844</v>
      </c>
      <c r="E35" s="146">
        <f>'Data Reduction Engine'!AD66</f>
        <v>629.88994662106563</v>
      </c>
      <c r="F35" s="139">
        <f>'Raw Data Input'!H78</f>
        <v>3.2413582392707743</v>
      </c>
      <c r="G35" s="146">
        <f>'Data Reduction Engine'!AD65</f>
        <v>35717.087121739401</v>
      </c>
      <c r="H35" s="324"/>
      <c r="I35" s="146">
        <f>'Data Reduction Engine'!AD56</f>
        <v>0.12892962375892511</v>
      </c>
      <c r="J35" s="148">
        <f>IF('Raw Data Input'!AT$56="off",'Data Reduction Engine'!AD$77,'Data Reduction Engine'!AD$90)</f>
        <v>0.17268024156161021</v>
      </c>
      <c r="K35" s="146">
        <f>'Data Reduction Engine'!AD78</f>
        <v>4.0229634801353727E-2</v>
      </c>
      <c r="L35" s="146">
        <f>'Data Reduction Engine'!AD69</f>
        <v>11.707169827138323</v>
      </c>
      <c r="M35" s="146">
        <f>'Data Reduction Engine'!AD70</f>
        <v>8.895385843604911E-2</v>
      </c>
      <c r="N35" s="148">
        <f>IF('Raw Data Input'!AT$56="off",'Data Reduction Engine'!AD$71,'Data Reduction Engine'!AD$84)</f>
        <v>0.4917088173256895</v>
      </c>
      <c r="O35" s="146">
        <f>'Data Reduction Engine'!AD85</f>
        <v>5.5497632113859739E-2</v>
      </c>
      <c r="P35" s="146">
        <f>'Data Reduction Engine'!AD73</f>
        <v>0.94944741450223125</v>
      </c>
      <c r="Q35" s="149"/>
      <c r="R35" s="139">
        <f>'Raw Data Input'!B78</f>
        <v>2583.7916135787964</v>
      </c>
      <c r="S35" s="139">
        <f>'Raw Data Input'!C78</f>
        <v>0.67162202290574391</v>
      </c>
      <c r="T35" s="139">
        <f>'Raw Data Input'!D78</f>
        <v>2581.2726684086429</v>
      </c>
      <c r="U35" s="139">
        <f>'Raw Data Input'!E78</f>
        <v>0.8321426577709663</v>
      </c>
      <c r="V35" s="139">
        <f>'Raw Data Input'!F78</f>
        <v>2578.0649159356567</v>
      </c>
      <c r="W35" s="139">
        <f>'Raw Data Input'!G78</f>
        <v>1.1792790913155295</v>
      </c>
      <c r="X35" s="150"/>
      <c r="Y35" s="146">
        <f>'Data Reduction Engine'!$AD107</f>
        <v>2.0328880897905384</v>
      </c>
      <c r="Z35" s="146">
        <f>'Data Reduction Engine'!$AD108</f>
        <v>5.5603774568111594E-2</v>
      </c>
      <c r="AA35" s="146">
        <f>'Data Reduction Engine'!$AD109</f>
        <v>0.1729781174509388</v>
      </c>
      <c r="AB35" s="146">
        <f>'Data Reduction Engine'!$AD110</f>
        <v>4.2898134773299026E-2</v>
      </c>
      <c r="AC35" s="146">
        <f>'Data Reduction Engine'!$AD111</f>
        <v>2.3609766815257383E-5</v>
      </c>
      <c r="AD35" s="146">
        <f>'Data Reduction Engine'!$AD112</f>
        <v>9.3058761498711569</v>
      </c>
      <c r="AE35" s="146">
        <f>'Data Reduction Engine'!$AD113</f>
        <v>-0.69543172633192873</v>
      </c>
      <c r="AF35" s="146">
        <f>'Data Reduction Engine'!$AD114</f>
        <v>-6.4100111545376509E-2</v>
      </c>
      <c r="AG35" s="146">
        <f>'Data Reduction Engine'!$AD115</f>
        <v>0.35721495076739013</v>
      </c>
      <c r="AH35" s="143"/>
      <c r="AI35" s="146">
        <f>'Data Reduction Engine'!$AD95</f>
        <v>86103.69198889425</v>
      </c>
      <c r="AJ35" s="146">
        <f>'Data Reduction Engine'!$AD96</f>
        <v>9.3096057304141393</v>
      </c>
      <c r="AK35" s="146">
        <f>'Data Reduction Engine'!$AD97</f>
        <v>42355.352673528658</v>
      </c>
      <c r="AL35" s="146">
        <f>'Data Reduction Engine'!$AD98</f>
        <v>9.3058761498711569</v>
      </c>
      <c r="AM35" s="146">
        <f>'Data Reduction Engine'!$AD99</f>
        <v>0.99998223637008798</v>
      </c>
      <c r="AO35" s="146">
        <f>'Data Reduction Engine'!$AD101</f>
        <v>624.48282556494235</v>
      </c>
      <c r="AP35" s="146">
        <f>'Data Reduction Engine'!$AD102</f>
        <v>9.3096057304141393</v>
      </c>
      <c r="AQ35" s="146">
        <f>'Data Reduction Engine'!$AD103</f>
        <v>7326.5491694375751</v>
      </c>
      <c r="AR35" s="146">
        <f>'Data Reduction Engine'!$AD104</f>
        <v>9.2906386955520901</v>
      </c>
      <c r="AS35" s="146">
        <f>'Data Reduction Engine'!$AD105</f>
        <v>0.99995438948863535</v>
      </c>
      <c r="AT35" s="143"/>
      <c r="AU35" s="148">
        <f t="shared" si="0"/>
        <v>42355.352673528658</v>
      </c>
      <c r="AV35" s="148">
        <f t="shared" si="1"/>
        <v>9.3058761498711569</v>
      </c>
      <c r="AW35" s="148">
        <f t="shared" si="2"/>
        <v>7326.5491694375751</v>
      </c>
      <c r="AX35" s="148">
        <f t="shared" si="3"/>
        <v>9.2906386955520901</v>
      </c>
      <c r="AY35" s="146">
        <f>'Data Reduction Engine'!$AD116</f>
        <v>0.99999070023226388</v>
      </c>
      <c r="AZ35" s="143"/>
      <c r="BA35" s="146">
        <f>'Data Reduction Engine'!AD6</f>
        <v>0.01</v>
      </c>
      <c r="BB35" s="146">
        <f>'Data Reduction Engine'!AD52</f>
        <v>370.70418939471813</v>
      </c>
      <c r="BC35" s="146">
        <f>'Data Reduction Engine'!AD58</f>
        <v>204.47390317712308</v>
      </c>
    </row>
    <row r="36" spans="1:79" s="151" customFormat="1" ht="12" customHeight="1" x14ac:dyDescent="0.15">
      <c r="A36" s="151" t="str">
        <f>'Raw Data Input'!A79</f>
        <v>z5</v>
      </c>
      <c r="B36" s="146">
        <f>'Data Reduction Engine'!AE55</f>
        <v>0.47848803287039327</v>
      </c>
      <c r="C36" s="146">
        <f>'Data Reduction Engine'!AE62*10000000000000</f>
        <v>68.397479148230872</v>
      </c>
      <c r="D36" s="146">
        <f>'Data Reduction Engine'!AE64</f>
        <v>0.99947699654905775</v>
      </c>
      <c r="E36" s="146">
        <f>'Data Reduction Engine'!AE66</f>
        <v>625.34203039489239</v>
      </c>
      <c r="F36" s="139">
        <f>'Raw Data Input'!H79</f>
        <v>2.9470107173504831</v>
      </c>
      <c r="G36" s="146">
        <f>'Data Reduction Engine'!AE65</f>
        <v>35332.809598022781</v>
      </c>
      <c r="H36" s="324"/>
      <c r="I36" s="146">
        <f>'Data Reduction Engine'!AE56</f>
        <v>0.13338312944241509</v>
      </c>
      <c r="J36" s="148">
        <f>IF('Raw Data Input'!AT$56="off",'Data Reduction Engine'!AE$77,'Data Reduction Engine'!AE$90)</f>
        <v>0.17246546577381075</v>
      </c>
      <c r="K36" s="146">
        <f>'Data Reduction Engine'!AE78</f>
        <v>3.9855153991528884E-2</v>
      </c>
      <c r="L36" s="146">
        <f>'Data Reduction Engine'!AE69</f>
        <v>11.667369921726953</v>
      </c>
      <c r="M36" s="146">
        <f>'Data Reduction Engine'!AE70</f>
        <v>9.3280195925673604E-2</v>
      </c>
      <c r="N36" s="148">
        <f>IF('Raw Data Input'!AT$56="off",'Data Reduction Engine'!AE$71,'Data Reduction Engine'!AE$84)</f>
        <v>0.49064745140199373</v>
      </c>
      <c r="O36" s="146">
        <f>'Data Reduction Engine'!AE85</f>
        <v>6.236067458773166E-2</v>
      </c>
      <c r="P36" s="146">
        <f>'Data Reduction Engine'!AE73</f>
        <v>0.94563757254008551</v>
      </c>
      <c r="Q36" s="149"/>
      <c r="R36" s="139">
        <f>'Raw Data Input'!B79</f>
        <v>2581.7137956619263</v>
      </c>
      <c r="S36" s="139">
        <f>'Raw Data Input'!C79</f>
        <v>0.66550439948198326</v>
      </c>
      <c r="T36" s="139">
        <f>'Raw Data Input'!D79</f>
        <v>2578.0874139751522</v>
      </c>
      <c r="U36" s="139">
        <f>'Raw Data Input'!E79</f>
        <v>0.87238035001953429</v>
      </c>
      <c r="V36" s="139">
        <f>'Raw Data Input'!F79</f>
        <v>2573.4765944775418</v>
      </c>
      <c r="W36" s="139">
        <f>'Raw Data Input'!G79</f>
        <v>1.323194281878743</v>
      </c>
      <c r="X36" s="150"/>
      <c r="Y36" s="146">
        <f>'Data Reduction Engine'!$AE107</f>
        <v>2.0372927386432678</v>
      </c>
      <c r="Z36" s="146">
        <f>'Data Reduction Engine'!$AE108</f>
        <v>6.2527974974863273E-2</v>
      </c>
      <c r="AA36" s="146">
        <f>'Data Reduction Engine'!$AE109</f>
        <v>0.17276114473628348</v>
      </c>
      <c r="AB36" s="146">
        <f>'Data Reduction Engine'!$AE110</f>
        <v>4.6803677963101212E-2</v>
      </c>
      <c r="AC36" s="146">
        <f>'Data Reduction Engine'!$AE111</f>
        <v>2.3424947105165434E-5</v>
      </c>
      <c r="AD36" s="146">
        <f>'Data Reduction Engine'!$AE112</f>
        <v>10.423609959198068</v>
      </c>
      <c r="AE36" s="146">
        <f>'Data Reduction Engine'!$AE113</f>
        <v>-0.5719349481857553</v>
      </c>
      <c r="AF36" s="146">
        <f>'Data Reduction Engine'!$AE114</f>
        <v>-6.5138966416885422E-2</v>
      </c>
      <c r="AG36" s="146">
        <f>'Data Reduction Engine'!$AE115</f>
        <v>0.36659515213888128</v>
      </c>
      <c r="AH36" s="143"/>
      <c r="AI36" s="146">
        <f>'Data Reduction Engine'!$AE95</f>
        <v>86971.071033668384</v>
      </c>
      <c r="AJ36" s="146">
        <f>'Data Reduction Engine'!$AE96</f>
        <v>10.427869639365785</v>
      </c>
      <c r="AK36" s="146">
        <f>'Data Reduction Engine'!$AE97</f>
        <v>42689.530760113863</v>
      </c>
      <c r="AL36" s="146">
        <f>'Data Reduction Engine'!$AE98</f>
        <v>10.423609959198068</v>
      </c>
      <c r="AM36" s="146">
        <f>'Data Reduction Engine'!$AE99</f>
        <v>0.99998209869204657</v>
      </c>
      <c r="AO36" s="146">
        <f>'Data Reduction Engine'!$AE101</f>
        <v>630.7736512450565</v>
      </c>
      <c r="AP36" s="146">
        <f>'Data Reduction Engine'!$AE102</f>
        <v>10.427869639365785</v>
      </c>
      <c r="AQ36" s="146">
        <f>'Data Reduction Engine'!$AE103</f>
        <v>7375.0922023720577</v>
      </c>
      <c r="AR36" s="146">
        <f>'Data Reduction Engine'!$AE104</f>
        <v>10.406543063684037</v>
      </c>
      <c r="AS36" s="146">
        <f>'Data Reduction Engine'!$AE105</f>
        <v>0.99995856409526307</v>
      </c>
      <c r="AT36" s="143"/>
      <c r="AU36" s="148">
        <f t="shared" si="0"/>
        <v>42689.530760113863</v>
      </c>
      <c r="AV36" s="148">
        <f t="shared" si="1"/>
        <v>10.423609959198068</v>
      </c>
      <c r="AW36" s="148">
        <f t="shared" si="2"/>
        <v>7375.0922023720577</v>
      </c>
      <c r="AX36" s="148">
        <f t="shared" si="3"/>
        <v>10.406543063684037</v>
      </c>
      <c r="AY36" s="146">
        <f>'Data Reduction Engine'!$AE116</f>
        <v>0.99999124532239458</v>
      </c>
      <c r="AZ36" s="143"/>
      <c r="BA36" s="146">
        <f>'Data Reduction Engine'!AE6</f>
        <v>0.01</v>
      </c>
      <c r="BB36" s="146">
        <f>'Data Reduction Engine'!AE52</f>
        <v>334.23399317342296</v>
      </c>
      <c r="BC36" s="146">
        <f>'Data Reduction Engine'!AE58</f>
        <v>184.56582903920869</v>
      </c>
    </row>
    <row r="37" spans="1:79" s="151" customFormat="1" ht="12" customHeight="1" x14ac:dyDescent="0.15">
      <c r="A37" s="151" t="str">
        <f>'Raw Data Input'!A80</f>
        <v>z6</v>
      </c>
      <c r="B37" s="146">
        <f>'Data Reduction Engine'!AF55</f>
        <v>0.39996361663919405</v>
      </c>
      <c r="C37" s="146">
        <f>'Data Reduction Engine'!AF62*10000000000000</f>
        <v>69.739059853326154</v>
      </c>
      <c r="D37" s="146">
        <f>'Data Reduction Engine'!AF64</f>
        <v>0.99918926658975682</v>
      </c>
      <c r="E37" s="146">
        <f>'Data Reduction Engine'!AF66</f>
        <v>396.77039021479135</v>
      </c>
      <c r="F37" s="139">
        <f>'Raw Data Input'!H80</f>
        <v>4.6565007315762585</v>
      </c>
      <c r="G37" s="146">
        <f>'Data Reduction Engine'!AF65</f>
        <v>22834.301604447537</v>
      </c>
      <c r="H37" s="324"/>
      <c r="I37" s="146">
        <f>'Data Reduction Engine'!AF56</f>
        <v>0.11146596297669444</v>
      </c>
      <c r="J37" s="148">
        <f>IF('Raw Data Input'!AT$56="off",'Data Reduction Engine'!AF$77,'Data Reduction Engine'!AF$90)</f>
        <v>0.17267548820801928</v>
      </c>
      <c r="K37" s="146">
        <f>'Data Reduction Engine'!AF78</f>
        <v>3.9189864105975719E-2</v>
      </c>
      <c r="L37" s="146">
        <f>'Data Reduction Engine'!AF69</f>
        <v>11.705419155231304</v>
      </c>
      <c r="M37" s="146">
        <f>'Data Reduction Engine'!AF70</f>
        <v>8.9203371337837387E-2</v>
      </c>
      <c r="N37" s="148">
        <f>IF('Raw Data Input'!AT$56="off",'Data Reduction Engine'!AF$71,'Data Reduction Engine'!AF$84)</f>
        <v>0.49164882152966494</v>
      </c>
      <c r="O37" s="146">
        <f>'Data Reduction Engine'!AF85</f>
        <v>5.6212703906386885E-2</v>
      </c>
      <c r="P37" s="146">
        <f>'Data Reduction Engine'!AF73</f>
        <v>0.95537940982887171</v>
      </c>
      <c r="Q37" s="149"/>
      <c r="R37" s="139">
        <f>'Raw Data Input'!B80</f>
        <v>2583.7463140487671</v>
      </c>
      <c r="S37" s="139">
        <f>'Raw Data Input'!C80</f>
        <v>0.65426651862481899</v>
      </c>
      <c r="T37" s="139">
        <f>'Raw Data Input'!D80</f>
        <v>2581.1327690390635</v>
      </c>
      <c r="U37" s="139">
        <f>'Raw Data Input'!E80</f>
        <v>0.83446697143171444</v>
      </c>
      <c r="V37" s="139">
        <f>'Raw Data Input'!F80</f>
        <v>2577.8056391091877</v>
      </c>
      <c r="W37" s="139">
        <f>'Raw Data Input'!G80</f>
        <v>1.194376073113105</v>
      </c>
      <c r="X37" s="150"/>
      <c r="Y37" s="146">
        <f>'Data Reduction Engine'!$AF107</f>
        <v>2.0325543551771168</v>
      </c>
      <c r="Z37" s="146">
        <f>'Data Reduction Engine'!$AF108</f>
        <v>5.6468893729192067E-2</v>
      </c>
      <c r="AA37" s="146">
        <f>'Data Reduction Engine'!$AF109</f>
        <v>0.1731646120930479</v>
      </c>
      <c r="AB37" s="146">
        <f>'Data Reduction Engine'!$AF110</f>
        <v>4.3436079044284828E-2</v>
      </c>
      <c r="AC37" s="146">
        <f>'Data Reduction Engine'!$AF111</f>
        <v>3.901295319822206E-5</v>
      </c>
      <c r="AD37" s="146">
        <f>'Data Reduction Engine'!$AF112</f>
        <v>6.1435195168483059</v>
      </c>
      <c r="AE37" s="146">
        <f>'Data Reduction Engine'!$AF113</f>
        <v>-0.6812455004137743</v>
      </c>
      <c r="AF37" s="146">
        <f>'Data Reduction Engine'!$AF114</f>
        <v>-6.6161468768669116E-2</v>
      </c>
      <c r="AG37" s="146">
        <f>'Data Reduction Engine'!$AF115</f>
        <v>0.38010473519619953</v>
      </c>
      <c r="AH37" s="143"/>
      <c r="AI37" s="146">
        <f>'Data Reduction Engine'!$AF95</f>
        <v>52099.474368163093</v>
      </c>
      <c r="AJ37" s="146">
        <f>'Data Reduction Engine'!$AF96</f>
        <v>6.1475138036212797</v>
      </c>
      <c r="AK37" s="146">
        <f>'Data Reduction Engine'!$AF97</f>
        <v>25632.512230465371</v>
      </c>
      <c r="AL37" s="146">
        <f>'Data Reduction Engine'!$AF98</f>
        <v>6.1435195168483059</v>
      </c>
      <c r="AM37" s="146">
        <f>'Data Reduction Engine'!$AF99</f>
        <v>0.99995799573089916</v>
      </c>
      <c r="AO37" s="146">
        <f>'Data Reduction Engine'!$AF101</f>
        <v>377.86099773834565</v>
      </c>
      <c r="AP37" s="146">
        <f>'Data Reduction Engine'!$AF102</f>
        <v>6.1475138036212797</v>
      </c>
      <c r="AQ37" s="146">
        <f>'Data Reduction Engine'!$AF103</f>
        <v>4438.6440373588412</v>
      </c>
      <c r="AR37" s="146">
        <f>'Data Reduction Engine'!$AF104</f>
        <v>6.1271409765158449</v>
      </c>
      <c r="AS37" s="146">
        <f>'Data Reduction Engine'!$AF105</f>
        <v>0.99989377512550537</v>
      </c>
      <c r="AT37" s="143"/>
      <c r="AU37" s="148">
        <f t="shared" si="0"/>
        <v>25632.512230465371</v>
      </c>
      <c r="AV37" s="148">
        <f t="shared" si="1"/>
        <v>6.1435195168483059</v>
      </c>
      <c r="AW37" s="148">
        <f t="shared" si="2"/>
        <v>4438.6440373588412</v>
      </c>
      <c r="AX37" s="148">
        <f t="shared" si="3"/>
        <v>6.1271409765158449</v>
      </c>
      <c r="AY37" s="146">
        <f>'Data Reduction Engine'!$AF116</f>
        <v>0.99997850237310792</v>
      </c>
      <c r="AZ37" s="143"/>
      <c r="BA37" s="146">
        <f>'Data Reduction Engine'!AF6</f>
        <v>0.01</v>
      </c>
      <c r="BB37" s="146">
        <f>'Data Reduction Engine'!AF52</f>
        <v>340.09569201189225</v>
      </c>
      <c r="BC37" s="146">
        <f>'Data Reduction Engine'!AF58</f>
        <v>185.20256827462805</v>
      </c>
    </row>
    <row r="38" spans="1:79" s="151" customFormat="1" ht="3.75" customHeight="1" x14ac:dyDescent="0.15">
      <c r="B38" s="139"/>
      <c r="C38" s="139"/>
      <c r="D38" s="139"/>
      <c r="E38" s="149"/>
      <c r="F38" s="139"/>
      <c r="G38" s="145"/>
      <c r="H38" s="139"/>
      <c r="I38" s="146"/>
      <c r="J38" s="148"/>
      <c r="K38" s="146"/>
      <c r="L38" s="148"/>
      <c r="M38" s="146"/>
      <c r="N38" s="148"/>
      <c r="O38" s="146"/>
      <c r="P38" s="146"/>
      <c r="Q38" s="149"/>
      <c r="R38" s="150"/>
      <c r="S38" s="150"/>
      <c r="T38" s="149"/>
      <c r="U38" s="149"/>
      <c r="V38" s="139"/>
      <c r="W38" s="139"/>
      <c r="X38" s="150"/>
      <c r="Y38" s="190"/>
      <c r="Z38" s="191"/>
      <c r="AA38" s="192"/>
      <c r="AB38" s="190"/>
      <c r="AC38" s="190"/>
      <c r="AD38" s="190"/>
      <c r="AE38" s="190"/>
      <c r="AF38" s="190"/>
      <c r="AG38" s="190"/>
      <c r="AH38" s="143"/>
      <c r="AI38" s="240"/>
      <c r="AJ38" s="192"/>
      <c r="AK38" s="241"/>
      <c r="AL38" s="191"/>
      <c r="AM38" s="190"/>
      <c r="AN38" s="190"/>
      <c r="AO38" s="190"/>
      <c r="AP38" s="190"/>
      <c r="AQ38" s="190"/>
      <c r="AR38" s="190"/>
      <c r="AS38" s="190"/>
      <c r="AT38" s="143"/>
      <c r="AU38" s="190"/>
      <c r="AV38" s="190"/>
      <c r="AW38" s="190"/>
      <c r="AX38" s="190"/>
      <c r="AY38" s="190"/>
      <c r="AZ38" s="143"/>
      <c r="BC38" s="139"/>
    </row>
    <row r="39" spans="1:79" s="151" customFormat="1" ht="3.75" customHeight="1" x14ac:dyDescent="0.15">
      <c r="A39" s="153"/>
      <c r="B39" s="154"/>
      <c r="C39" s="154"/>
      <c r="D39" s="154"/>
      <c r="E39" s="155"/>
      <c r="F39" s="156"/>
      <c r="G39" s="155"/>
      <c r="H39" s="156"/>
      <c r="I39" s="157"/>
      <c r="J39" s="158"/>
      <c r="K39" s="157"/>
      <c r="L39" s="159"/>
      <c r="M39" s="157"/>
      <c r="N39" s="159"/>
      <c r="O39" s="157"/>
      <c r="P39" s="157"/>
      <c r="Q39" s="154"/>
      <c r="R39" s="160"/>
      <c r="S39" s="160"/>
      <c r="T39" s="156"/>
      <c r="U39" s="156"/>
      <c r="V39" s="156"/>
      <c r="W39" s="156"/>
      <c r="X39" s="150"/>
      <c r="AH39" s="143"/>
      <c r="AI39" s="152"/>
      <c r="AJ39" s="138"/>
      <c r="AK39" s="148"/>
      <c r="AL39" s="149"/>
      <c r="AT39" s="143"/>
      <c r="AZ39" s="143"/>
      <c r="BA39" s="153"/>
      <c r="BB39" s="153"/>
      <c r="BC39" s="154"/>
    </row>
    <row r="40" spans="1:79" s="110" customFormat="1" ht="11" x14ac:dyDescent="0.15">
      <c r="A40" s="161" t="s">
        <v>34</v>
      </c>
      <c r="B40" s="162"/>
      <c r="C40" s="162"/>
      <c r="D40" s="162"/>
      <c r="E40" s="115"/>
      <c r="F40" s="101"/>
      <c r="G40" s="163"/>
      <c r="H40" s="101"/>
      <c r="I40" s="164"/>
      <c r="J40" s="136"/>
      <c r="K40" s="106"/>
      <c r="L40" s="165"/>
      <c r="M40" s="106"/>
      <c r="N40" s="165"/>
      <c r="O40" s="146"/>
      <c r="P40" s="106"/>
      <c r="Q40" s="166"/>
      <c r="R40" s="115"/>
      <c r="S40" s="115"/>
      <c r="T40" s="101"/>
      <c r="U40" s="101"/>
      <c r="V40" s="167"/>
      <c r="W40" s="101"/>
      <c r="X40" s="168"/>
      <c r="Z40" s="111"/>
      <c r="AA40" s="111"/>
      <c r="AB40" s="138"/>
      <c r="AC40" s="138"/>
      <c r="AD40" s="169"/>
      <c r="AE40" s="111"/>
      <c r="AF40" s="111"/>
      <c r="AG40" s="111"/>
      <c r="AH40" s="111"/>
      <c r="AI40" s="111"/>
      <c r="AJ40" s="111"/>
      <c r="AK40" s="111"/>
      <c r="AL40" s="111"/>
      <c r="AM40" s="112"/>
      <c r="AN40" s="112"/>
      <c r="AO40" s="112"/>
      <c r="AP40" s="112"/>
      <c r="AQ40" s="112"/>
      <c r="AR40" s="112"/>
      <c r="AS40" s="112"/>
      <c r="AT40" s="111"/>
      <c r="AU40" s="112"/>
      <c r="AV40" s="112"/>
      <c r="AW40" s="112"/>
      <c r="AX40" s="112"/>
      <c r="AY40" s="112"/>
      <c r="AZ40" s="111"/>
      <c r="BA40" s="161"/>
      <c r="BB40" s="161"/>
      <c r="BC40" s="162"/>
      <c r="BD40" s="112"/>
      <c r="BE40" s="112"/>
      <c r="BF40" s="112"/>
      <c r="BG40" s="112"/>
      <c r="BH40" s="112"/>
      <c r="BI40" s="112"/>
      <c r="BJ40" s="112"/>
      <c r="BK40" s="112"/>
      <c r="BL40" s="112"/>
      <c r="BM40" s="112"/>
      <c r="BN40" s="112"/>
      <c r="BO40" s="112"/>
      <c r="BP40" s="112"/>
      <c r="BQ40" s="112"/>
      <c r="BR40" s="112"/>
      <c r="BS40" s="112"/>
      <c r="BT40" s="112"/>
      <c r="BU40" s="112"/>
      <c r="BV40" s="112"/>
      <c r="BW40" s="112"/>
      <c r="BX40" s="112"/>
      <c r="BY40" s="112"/>
      <c r="BZ40" s="112"/>
      <c r="CA40" s="112"/>
    </row>
    <row r="41" spans="1:79" s="110" customFormat="1" ht="11" x14ac:dyDescent="0.15">
      <c r="A41" s="170" t="s">
        <v>0</v>
      </c>
      <c r="B41" s="171"/>
      <c r="C41" s="171"/>
      <c r="D41" s="171"/>
      <c r="E41" s="115"/>
      <c r="F41" s="101"/>
      <c r="G41" s="163"/>
      <c r="H41" s="101"/>
      <c r="I41" s="106"/>
      <c r="J41" s="136"/>
      <c r="K41" s="106"/>
      <c r="L41" s="165"/>
      <c r="M41" s="106"/>
      <c r="N41" s="165"/>
      <c r="O41" s="146"/>
      <c r="P41" s="106"/>
      <c r="Q41" s="140"/>
      <c r="R41" s="115"/>
      <c r="S41" s="115"/>
      <c r="T41" s="101"/>
      <c r="U41" s="101"/>
      <c r="V41" s="167"/>
      <c r="W41" s="101"/>
      <c r="X41" s="115"/>
      <c r="Z41" s="111"/>
      <c r="AA41" s="111"/>
      <c r="AB41" s="139"/>
      <c r="AC41" s="139"/>
      <c r="AD41" s="150"/>
      <c r="AE41" s="111"/>
      <c r="AF41" s="111"/>
      <c r="AG41" s="111"/>
      <c r="AH41" s="111"/>
      <c r="AI41" s="111"/>
      <c r="AJ41" s="111"/>
      <c r="AK41" s="111"/>
      <c r="AL41" s="111"/>
      <c r="AM41" s="112"/>
      <c r="AN41" s="112"/>
      <c r="AO41" s="112"/>
      <c r="AP41" s="112"/>
      <c r="AQ41" s="112"/>
      <c r="AR41" s="112"/>
      <c r="AS41" s="112"/>
      <c r="AT41" s="111"/>
      <c r="AU41" s="112"/>
      <c r="AV41" s="112"/>
      <c r="AW41" s="112"/>
      <c r="AX41" s="112"/>
      <c r="AY41" s="112"/>
      <c r="AZ41" s="111"/>
      <c r="BA41" s="170"/>
      <c r="BB41" s="112"/>
      <c r="BC41" s="171"/>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row>
    <row r="42" spans="1:79" s="110" customFormat="1" ht="12" x14ac:dyDescent="0.15">
      <c r="A42" s="112" t="s">
        <v>149</v>
      </c>
      <c r="B42" s="171"/>
      <c r="C42" s="171"/>
      <c r="D42" s="171"/>
      <c r="E42" s="115"/>
      <c r="F42" s="101"/>
      <c r="G42" s="163"/>
      <c r="H42" s="101"/>
      <c r="I42" s="106"/>
      <c r="J42" s="136"/>
      <c r="K42" s="106"/>
      <c r="L42" s="165"/>
      <c r="M42" s="106"/>
      <c r="N42" s="165"/>
      <c r="O42" s="146"/>
      <c r="P42" s="106"/>
      <c r="Q42" s="140"/>
      <c r="R42" s="115"/>
      <c r="S42" s="115"/>
      <c r="T42" s="101"/>
      <c r="U42" s="101"/>
      <c r="V42" s="167"/>
      <c r="W42" s="101"/>
      <c r="X42" s="115"/>
      <c r="Z42" s="111"/>
      <c r="AA42" s="111"/>
      <c r="AB42" s="139"/>
      <c r="AC42" s="139"/>
      <c r="AD42" s="150"/>
      <c r="AE42" s="111"/>
      <c r="AF42" s="111"/>
      <c r="AG42" s="111"/>
      <c r="AH42" s="111"/>
      <c r="AI42" s="111"/>
      <c r="AJ42" s="111"/>
      <c r="AK42" s="111"/>
      <c r="AL42" s="111"/>
      <c r="AM42" s="112"/>
      <c r="AN42" s="112"/>
      <c r="AO42" s="112"/>
      <c r="AP42" s="112"/>
      <c r="AQ42" s="112"/>
      <c r="AR42" s="112"/>
      <c r="AS42" s="112"/>
      <c r="AT42" s="111"/>
      <c r="AU42" s="112"/>
      <c r="AV42" s="112"/>
      <c r="AW42" s="112"/>
      <c r="AX42" s="112"/>
      <c r="AY42" s="112"/>
      <c r="AZ42" s="111"/>
      <c r="BA42" s="112"/>
      <c r="BB42" s="112"/>
      <c r="BC42" s="171"/>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row>
    <row r="43" spans="1:79" s="110" customFormat="1" ht="11" x14ac:dyDescent="0.15">
      <c r="A43" s="112" t="s">
        <v>35</v>
      </c>
      <c r="B43" s="171"/>
      <c r="C43" s="171"/>
      <c r="D43" s="171"/>
      <c r="E43" s="115"/>
      <c r="F43" s="101"/>
      <c r="G43" s="163"/>
      <c r="H43" s="101"/>
      <c r="I43" s="106"/>
      <c r="J43" s="136"/>
      <c r="K43" s="106"/>
      <c r="L43" s="165"/>
      <c r="M43" s="106"/>
      <c r="N43" s="165"/>
      <c r="O43" s="146"/>
      <c r="P43" s="106"/>
      <c r="Q43" s="140"/>
      <c r="R43" s="115"/>
      <c r="S43" s="115"/>
      <c r="T43" s="101"/>
      <c r="U43" s="101"/>
      <c r="V43" s="167"/>
      <c r="W43" s="101"/>
      <c r="X43" s="115"/>
      <c r="Z43" s="111"/>
      <c r="AA43" s="111"/>
      <c r="AB43" s="139"/>
      <c r="AC43" s="139"/>
      <c r="AD43" s="150"/>
      <c r="AE43" s="111"/>
      <c r="AF43" s="111"/>
      <c r="AG43" s="111"/>
      <c r="AH43" s="111"/>
      <c r="AI43" s="111"/>
      <c r="AJ43" s="111"/>
      <c r="AK43" s="111"/>
      <c r="AL43" s="111"/>
      <c r="AM43" s="112"/>
      <c r="AN43" s="112"/>
      <c r="AO43" s="112"/>
      <c r="AP43" s="112"/>
      <c r="AQ43" s="112"/>
      <c r="AR43" s="112"/>
      <c r="AS43" s="112"/>
      <c r="AT43" s="111"/>
      <c r="AU43" s="112"/>
      <c r="AV43" s="112"/>
      <c r="AW43" s="112"/>
      <c r="AX43" s="112"/>
      <c r="AY43" s="112"/>
      <c r="AZ43" s="111"/>
      <c r="BA43" s="112"/>
      <c r="BB43" s="112"/>
      <c r="BC43" s="171"/>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row>
    <row r="44" spans="1:79" s="252" customFormat="1" ht="11" x14ac:dyDescent="0.15">
      <c r="A44" s="112" t="s">
        <v>33</v>
      </c>
      <c r="B44" s="243"/>
      <c r="C44" s="243"/>
      <c r="D44" s="243"/>
      <c r="E44" s="244"/>
      <c r="F44" s="245"/>
      <c r="G44" s="246"/>
      <c r="H44" s="245"/>
      <c r="I44" s="247"/>
      <c r="J44" s="248"/>
      <c r="K44" s="247"/>
      <c r="L44" s="249"/>
      <c r="M44" s="247"/>
      <c r="N44" s="249"/>
      <c r="O44" s="189"/>
      <c r="P44" s="247"/>
      <c r="Q44" s="250"/>
      <c r="R44" s="244"/>
      <c r="S44" s="244"/>
      <c r="T44" s="245"/>
      <c r="U44" s="245"/>
      <c r="V44" s="251"/>
      <c r="W44" s="245"/>
      <c r="X44" s="244"/>
      <c r="Z44" s="173"/>
      <c r="AA44" s="173"/>
      <c r="AB44" s="188"/>
      <c r="AC44" s="188"/>
      <c r="AD44" s="172"/>
      <c r="AE44" s="173"/>
      <c r="AF44" s="173"/>
      <c r="AG44" s="173"/>
      <c r="AH44" s="173"/>
      <c r="AI44" s="173"/>
      <c r="AJ44" s="173"/>
      <c r="AK44" s="173"/>
      <c r="AL44" s="173"/>
      <c r="AM44" s="242"/>
      <c r="AN44" s="242"/>
      <c r="AO44" s="242"/>
      <c r="AP44" s="242"/>
      <c r="AQ44" s="242"/>
      <c r="AR44" s="242"/>
      <c r="AS44" s="242"/>
      <c r="AT44" s="173"/>
      <c r="AU44" s="242"/>
      <c r="AV44" s="242"/>
      <c r="AW44" s="242"/>
      <c r="AX44" s="242"/>
      <c r="AY44" s="242"/>
      <c r="AZ44" s="173"/>
      <c r="BA44" s="242"/>
      <c r="BB44" s="242"/>
      <c r="BC44" s="243"/>
      <c r="BD44" s="242"/>
      <c r="BE44" s="242"/>
      <c r="BF44" s="242"/>
      <c r="BG44" s="242"/>
      <c r="BH44" s="242"/>
      <c r="BI44" s="242"/>
      <c r="BJ44" s="242"/>
      <c r="BK44" s="242"/>
      <c r="BL44" s="242"/>
      <c r="BM44" s="242"/>
      <c r="BN44" s="242"/>
      <c r="BO44" s="242"/>
      <c r="BP44" s="242"/>
      <c r="BQ44" s="242"/>
      <c r="BR44" s="242"/>
      <c r="BS44" s="242"/>
      <c r="BT44" s="242"/>
      <c r="BU44" s="242"/>
      <c r="BV44" s="242"/>
      <c r="BW44" s="242"/>
      <c r="BX44" s="242"/>
      <c r="BY44" s="242"/>
      <c r="BZ44" s="242"/>
      <c r="CA44" s="242"/>
    </row>
    <row r="45" spans="1:79" s="252" customFormat="1" ht="11" x14ac:dyDescent="0.15">
      <c r="A45" s="112" t="s">
        <v>23</v>
      </c>
      <c r="B45" s="243"/>
      <c r="C45" s="243"/>
      <c r="D45" s="243"/>
      <c r="E45" s="244"/>
      <c r="F45" s="245"/>
      <c r="G45" s="246"/>
      <c r="H45" s="245"/>
      <c r="I45" s="247"/>
      <c r="J45" s="248"/>
      <c r="K45" s="247"/>
      <c r="L45" s="249"/>
      <c r="M45" s="247"/>
      <c r="N45" s="249"/>
      <c r="O45" s="189"/>
      <c r="P45" s="247"/>
      <c r="Q45" s="250"/>
      <c r="R45" s="244"/>
      <c r="S45" s="244"/>
      <c r="T45" s="245"/>
      <c r="U45" s="245"/>
      <c r="V45" s="251"/>
      <c r="W45" s="245"/>
      <c r="X45" s="244"/>
      <c r="Z45" s="173"/>
      <c r="AA45" s="173"/>
      <c r="AB45" s="188"/>
      <c r="AC45" s="188"/>
      <c r="AD45" s="172"/>
      <c r="AE45" s="173"/>
      <c r="AF45" s="173"/>
      <c r="AG45" s="173"/>
      <c r="AH45" s="173"/>
      <c r="AI45" s="173"/>
      <c r="AJ45" s="173"/>
      <c r="AK45" s="173"/>
      <c r="AL45" s="173"/>
      <c r="AM45" s="242"/>
      <c r="AN45" s="173"/>
      <c r="AO45" s="242"/>
      <c r="AP45" s="242"/>
      <c r="AQ45" s="242"/>
      <c r="AR45" s="242"/>
      <c r="AS45" s="242"/>
      <c r="AT45" s="173"/>
      <c r="AU45" s="242"/>
      <c r="AV45" s="242"/>
      <c r="AW45" s="242"/>
      <c r="AX45" s="242"/>
      <c r="AY45" s="242"/>
      <c r="AZ45" s="173"/>
      <c r="BA45" s="242"/>
      <c r="BB45" s="242"/>
      <c r="BC45" s="243"/>
      <c r="BD45" s="242"/>
      <c r="BE45" s="242"/>
      <c r="BF45" s="242"/>
      <c r="BG45" s="242"/>
      <c r="BH45" s="242"/>
      <c r="BI45" s="242"/>
      <c r="BJ45" s="242"/>
      <c r="BK45" s="242"/>
      <c r="BL45" s="242"/>
      <c r="BM45" s="242"/>
      <c r="BN45" s="242"/>
      <c r="BO45" s="242"/>
      <c r="BP45" s="242"/>
      <c r="BQ45" s="242"/>
      <c r="BR45" s="242"/>
      <c r="BS45" s="242"/>
      <c r="BT45" s="242"/>
      <c r="BU45" s="242"/>
      <c r="BV45" s="242"/>
      <c r="BW45" s="242"/>
      <c r="BX45" s="242"/>
      <c r="BY45" s="242"/>
      <c r="BZ45" s="242"/>
      <c r="CA45" s="242"/>
    </row>
    <row r="46" spans="1:79" s="110" customFormat="1" ht="11" x14ac:dyDescent="0.15">
      <c r="A46" s="112" t="s">
        <v>39</v>
      </c>
      <c r="B46" s="171"/>
      <c r="C46" s="171"/>
      <c r="D46" s="171"/>
      <c r="E46" s="115"/>
      <c r="F46" s="101"/>
      <c r="G46" s="163"/>
      <c r="H46" s="101"/>
      <c r="I46" s="106"/>
      <c r="J46" s="136"/>
      <c r="K46" s="106"/>
      <c r="L46" s="165"/>
      <c r="M46" s="106"/>
      <c r="N46" s="165"/>
      <c r="O46" s="146"/>
      <c r="P46" s="106"/>
      <c r="Q46" s="140"/>
      <c r="R46" s="115"/>
      <c r="S46" s="115"/>
      <c r="T46" s="101"/>
      <c r="U46" s="101"/>
      <c r="V46" s="167"/>
      <c r="W46" s="101"/>
      <c r="X46" s="115"/>
      <c r="Z46" s="111"/>
      <c r="AA46" s="111"/>
      <c r="AB46" s="139"/>
      <c r="AC46" s="139"/>
      <c r="AD46" s="172"/>
      <c r="AE46" s="173"/>
      <c r="AF46" s="173"/>
      <c r="AG46" s="111"/>
      <c r="AH46" s="111"/>
      <c r="AI46" s="111"/>
      <c r="AM46" s="112"/>
      <c r="AN46" s="174"/>
      <c r="AO46" s="112"/>
      <c r="AP46" s="112"/>
      <c r="AQ46" s="112"/>
      <c r="AR46" s="112"/>
      <c r="AS46" s="112"/>
      <c r="AT46" s="111"/>
      <c r="AU46" s="112"/>
      <c r="AV46" s="112"/>
      <c r="AW46" s="112"/>
      <c r="AX46" s="112"/>
      <c r="AY46" s="112"/>
      <c r="AZ46" s="111"/>
      <c r="BA46" s="112"/>
      <c r="BB46" s="112"/>
      <c r="BC46" s="171"/>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row>
    <row r="47" spans="1:79" s="110" customFormat="1" ht="11" x14ac:dyDescent="0.15">
      <c r="A47" s="112" t="s">
        <v>150</v>
      </c>
      <c r="B47" s="171"/>
      <c r="C47" s="171"/>
      <c r="D47" s="171"/>
      <c r="E47" s="115"/>
      <c r="F47" s="101"/>
      <c r="G47" s="163"/>
      <c r="H47" s="101"/>
      <c r="I47" s="106"/>
      <c r="J47" s="175"/>
      <c r="K47" s="146"/>
      <c r="L47" s="148"/>
      <c r="M47" s="146"/>
      <c r="N47" s="148"/>
      <c r="O47" s="146"/>
      <c r="P47" s="146"/>
      <c r="Q47" s="140"/>
      <c r="R47" s="150"/>
      <c r="S47" s="150"/>
      <c r="T47" s="139"/>
      <c r="U47" s="139"/>
      <c r="V47" s="167"/>
      <c r="W47" s="139"/>
      <c r="X47" s="115"/>
      <c r="Z47" s="111"/>
      <c r="AA47" s="111"/>
      <c r="AB47" s="139"/>
      <c r="AC47" s="139"/>
      <c r="AD47" s="176"/>
      <c r="AE47" s="177"/>
      <c r="AF47" s="177"/>
      <c r="AG47" s="111"/>
      <c r="AH47" s="111"/>
      <c r="AI47" s="111"/>
      <c r="AM47" s="112"/>
      <c r="AN47" s="174"/>
      <c r="AO47" s="112"/>
      <c r="AP47" s="112"/>
      <c r="AQ47" s="112"/>
      <c r="AR47" s="112"/>
      <c r="AS47" s="112"/>
      <c r="AT47" s="111"/>
      <c r="AU47" s="112"/>
      <c r="AV47" s="112"/>
      <c r="AW47" s="112"/>
      <c r="AX47" s="112"/>
      <c r="AY47" s="112"/>
      <c r="AZ47" s="111"/>
      <c r="BA47" s="112"/>
      <c r="BB47" s="112"/>
      <c r="BC47" s="171"/>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row>
    <row r="48" spans="1:79" s="110" customFormat="1" ht="11" x14ac:dyDescent="0.15">
      <c r="A48" s="112" t="s">
        <v>20</v>
      </c>
      <c r="B48" s="171"/>
      <c r="C48" s="171"/>
      <c r="D48" s="171"/>
      <c r="E48" s="115"/>
      <c r="F48" s="101"/>
      <c r="G48" s="163"/>
      <c r="H48" s="101"/>
      <c r="I48" s="106"/>
      <c r="J48" s="175"/>
      <c r="K48" s="146"/>
      <c r="L48" s="148"/>
      <c r="M48" s="146"/>
      <c r="N48" s="148"/>
      <c r="O48" s="146"/>
      <c r="P48" s="146"/>
      <c r="Q48" s="140"/>
      <c r="R48" s="150"/>
      <c r="S48" s="150"/>
      <c r="T48" s="139"/>
      <c r="U48" s="139"/>
      <c r="V48" s="167"/>
      <c r="W48" s="139"/>
      <c r="X48" s="115"/>
      <c r="Z48" s="149"/>
      <c r="AA48" s="149"/>
      <c r="AB48" s="139"/>
      <c r="AC48" s="139"/>
      <c r="AD48" s="176"/>
      <c r="AE48" s="178"/>
      <c r="AF48" s="178"/>
      <c r="AG48" s="149"/>
      <c r="AH48" s="111"/>
      <c r="AI48" s="149"/>
      <c r="AM48" s="151"/>
      <c r="AN48" s="174"/>
      <c r="AO48" s="112"/>
      <c r="AP48" s="112"/>
      <c r="AQ48" s="112"/>
      <c r="AR48" s="112"/>
      <c r="AS48" s="112"/>
      <c r="AT48" s="111"/>
      <c r="AU48" s="112"/>
      <c r="AV48" s="112"/>
      <c r="AW48" s="112"/>
      <c r="AX48" s="112"/>
      <c r="AY48" s="112"/>
      <c r="AZ48" s="111"/>
      <c r="BA48" s="112"/>
      <c r="BB48" s="112"/>
      <c r="BC48" s="171"/>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row>
    <row r="49" spans="1:79" s="110" customFormat="1" x14ac:dyDescent="0.15">
      <c r="B49" s="171"/>
      <c r="C49" s="171"/>
      <c r="D49" s="171"/>
      <c r="E49" s="115"/>
      <c r="F49" s="101"/>
      <c r="G49" s="163"/>
      <c r="H49" s="101"/>
      <c r="I49" s="106"/>
      <c r="J49" s="175"/>
      <c r="K49" s="146"/>
      <c r="L49" s="148"/>
      <c r="M49" s="146"/>
      <c r="N49" s="148"/>
      <c r="O49" s="146"/>
      <c r="P49" s="146"/>
      <c r="Q49" s="140"/>
      <c r="R49" s="150"/>
      <c r="S49" s="150"/>
      <c r="T49" s="139"/>
      <c r="U49" s="139"/>
      <c r="V49" s="167"/>
      <c r="W49" s="139"/>
      <c r="X49" s="115"/>
      <c r="Z49" s="149"/>
      <c r="AA49" s="149"/>
      <c r="AB49" s="139"/>
      <c r="AC49" s="139"/>
      <c r="AD49" s="176"/>
      <c r="AE49" s="178"/>
      <c r="AF49" s="178"/>
      <c r="AG49" s="149"/>
      <c r="AH49" s="111"/>
      <c r="AI49" s="149"/>
      <c r="AM49" s="151"/>
      <c r="AN49" s="174"/>
      <c r="AO49"/>
      <c r="AP49"/>
      <c r="AQ49"/>
      <c r="AR49"/>
      <c r="AS49" s="112"/>
      <c r="AT49" s="111"/>
      <c r="AU49"/>
      <c r="AV49"/>
      <c r="AW49"/>
      <c r="AX49"/>
      <c r="AY49" s="112"/>
      <c r="AZ49" s="111"/>
      <c r="BC49" s="171"/>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row>
    <row r="50" spans="1:79" s="110" customFormat="1" ht="11" x14ac:dyDescent="0.15">
      <c r="A50" s="161" t="s">
        <v>21</v>
      </c>
      <c r="B50" s="162"/>
      <c r="C50" s="162"/>
      <c r="D50" s="162"/>
      <c r="E50" s="115"/>
      <c r="F50" s="101"/>
      <c r="G50" s="163"/>
      <c r="H50" s="101"/>
      <c r="I50" s="164"/>
      <c r="J50" s="136"/>
      <c r="K50" s="106"/>
      <c r="L50" s="165"/>
      <c r="M50" s="106"/>
      <c r="N50" s="165"/>
      <c r="O50" s="146"/>
      <c r="P50" s="106"/>
      <c r="Q50" s="166"/>
      <c r="R50" s="115"/>
      <c r="S50" s="115"/>
      <c r="T50" s="101"/>
      <c r="U50" s="101"/>
      <c r="V50" s="167"/>
      <c r="W50" s="101"/>
      <c r="X50" s="168"/>
      <c r="Z50" s="111"/>
      <c r="AA50" s="111"/>
      <c r="AB50" s="138"/>
      <c r="AC50" s="138"/>
      <c r="AD50" s="169"/>
      <c r="AE50" s="111"/>
      <c r="AF50" s="111"/>
      <c r="AG50" s="111"/>
      <c r="AH50" s="111"/>
      <c r="AI50" s="111"/>
      <c r="AJ50" s="111"/>
      <c r="AK50" s="111"/>
      <c r="AL50" s="111"/>
      <c r="AM50" s="112"/>
      <c r="AN50" s="112"/>
      <c r="AO50" s="112"/>
      <c r="AP50" s="112"/>
      <c r="AQ50" s="112"/>
      <c r="AR50" s="112"/>
      <c r="AS50" s="112"/>
      <c r="AT50" s="111"/>
      <c r="AU50" s="112"/>
      <c r="AV50" s="112"/>
      <c r="AW50" s="112"/>
      <c r="AX50" s="112"/>
      <c r="AY50" s="112"/>
      <c r="AZ50" s="111"/>
      <c r="BA50" s="161"/>
      <c r="BB50" s="161"/>
      <c r="BC50" s="16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row>
    <row r="51" spans="1:79" s="110" customFormat="1" ht="11" x14ac:dyDescent="0.15">
      <c r="A51" s="170" t="s">
        <v>22</v>
      </c>
      <c r="B51" s="171"/>
      <c r="C51" s="171"/>
      <c r="D51" s="171"/>
      <c r="E51" s="115"/>
      <c r="F51" s="101"/>
      <c r="G51" s="163"/>
      <c r="H51" s="101"/>
      <c r="I51" s="106"/>
      <c r="J51" s="136"/>
      <c r="K51" s="106"/>
      <c r="L51" s="165"/>
      <c r="M51" s="106"/>
      <c r="N51" s="165"/>
      <c r="O51" s="146"/>
      <c r="P51" s="106"/>
      <c r="Q51" s="140"/>
      <c r="R51" s="115"/>
      <c r="S51" s="115"/>
      <c r="T51" s="101"/>
      <c r="U51" s="101"/>
      <c r="V51" s="167"/>
      <c r="W51" s="101"/>
      <c r="X51" s="115"/>
      <c r="Z51" s="111"/>
      <c r="AA51" s="111"/>
      <c r="AB51" s="139"/>
      <c r="AC51" s="139"/>
      <c r="AD51" s="150"/>
      <c r="AE51" s="111"/>
      <c r="AF51" s="111"/>
      <c r="AG51" s="111"/>
      <c r="AH51" s="111"/>
      <c r="AI51" s="111"/>
      <c r="AJ51" s="111"/>
      <c r="AK51" s="111"/>
      <c r="AL51" s="111"/>
      <c r="AM51" s="112"/>
      <c r="AN51" s="112"/>
      <c r="AO51" s="112"/>
      <c r="AP51" s="112"/>
      <c r="AQ51" s="112"/>
      <c r="AR51" s="112"/>
      <c r="AS51" s="112"/>
      <c r="AT51" s="111"/>
      <c r="AU51" s="112"/>
      <c r="AV51" s="112"/>
      <c r="AW51" s="112"/>
      <c r="AX51" s="112"/>
      <c r="AY51" s="112"/>
      <c r="AZ51" s="111"/>
      <c r="BA51" s="170"/>
      <c r="BB51" s="170"/>
      <c r="BC51" s="171"/>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row>
    <row r="52" spans="1:79" s="151" customFormat="1" ht="11" x14ac:dyDescent="0.15">
      <c r="G52" s="179"/>
      <c r="I52" s="180"/>
      <c r="J52" s="175"/>
      <c r="K52" s="180"/>
      <c r="L52" s="182"/>
      <c r="M52" s="180"/>
      <c r="N52" s="182"/>
      <c r="O52" s="180"/>
      <c r="P52" s="146"/>
      <c r="R52" s="183"/>
      <c r="S52" s="183"/>
      <c r="Y52" s="139"/>
      <c r="Z52" s="149"/>
      <c r="AA52" s="149"/>
      <c r="AB52" s="149"/>
      <c r="AC52" s="149"/>
      <c r="AD52" s="184"/>
      <c r="AE52" s="184"/>
      <c r="AF52" s="184"/>
      <c r="AG52" s="149"/>
      <c r="AH52" s="111"/>
      <c r="AI52" s="149"/>
      <c r="AJ52" s="110"/>
      <c r="AN52" s="174"/>
      <c r="AT52" s="111"/>
      <c r="AZ52" s="111"/>
    </row>
    <row r="53" spans="1:79" s="151" customFormat="1" ht="10" x14ac:dyDescent="0.15">
      <c r="G53" s="179"/>
      <c r="I53" s="180"/>
      <c r="J53" s="175"/>
      <c r="K53" s="180"/>
      <c r="L53" s="182"/>
      <c r="M53" s="180"/>
      <c r="N53" s="182"/>
      <c r="O53" s="180"/>
      <c r="P53" s="146"/>
      <c r="R53" s="183"/>
      <c r="S53" s="183"/>
      <c r="Y53" s="139"/>
      <c r="Z53" s="149"/>
      <c r="AA53" s="149"/>
      <c r="AB53" s="149"/>
      <c r="AC53" s="149"/>
      <c r="AD53" s="184"/>
      <c r="AE53" s="184"/>
      <c r="AF53" s="184"/>
      <c r="AG53" s="184"/>
      <c r="AH53" s="184"/>
      <c r="AI53" s="149"/>
      <c r="AJ53" s="149"/>
      <c r="AK53" s="149"/>
      <c r="AL53" s="149"/>
      <c r="AT53" s="184"/>
      <c r="AZ53" s="184"/>
    </row>
    <row r="54" spans="1:79" s="151" customFormat="1" ht="10" x14ac:dyDescent="0.15">
      <c r="K54" s="180"/>
      <c r="M54" s="180"/>
      <c r="O54" s="180"/>
      <c r="P54" s="180"/>
      <c r="Y54" s="139"/>
      <c r="Z54" s="149"/>
      <c r="AA54" s="149"/>
      <c r="AB54" s="149"/>
      <c r="AC54" s="149"/>
      <c r="AD54" s="184"/>
      <c r="AE54" s="184"/>
      <c r="AF54" s="184"/>
      <c r="AG54" s="184"/>
      <c r="AH54" s="184"/>
      <c r="AI54" s="149"/>
      <c r="AJ54" s="149"/>
      <c r="AK54" s="149"/>
      <c r="AL54" s="149"/>
      <c r="AT54" s="184"/>
      <c r="AZ54" s="184"/>
    </row>
    <row r="55" spans="1:79" s="151" customFormat="1" ht="10" x14ac:dyDescent="0.15">
      <c r="K55" s="180"/>
      <c r="M55" s="180"/>
      <c r="O55" s="180"/>
      <c r="P55" s="180"/>
      <c r="Y55" s="139"/>
      <c r="Z55" s="149"/>
      <c r="AA55" s="149"/>
      <c r="AB55" s="149"/>
      <c r="AC55" s="149"/>
      <c r="AD55" s="184"/>
      <c r="AE55" s="184"/>
      <c r="AF55" s="184"/>
      <c r="AG55" s="184"/>
      <c r="AH55" s="184"/>
      <c r="AI55" s="149"/>
      <c r="AJ55" s="149"/>
      <c r="AK55" s="149"/>
      <c r="AL55" s="149"/>
      <c r="AT55" s="184"/>
      <c r="AZ55" s="184"/>
    </row>
    <row r="56" spans="1:79" s="151" customFormat="1" ht="10" x14ac:dyDescent="0.15">
      <c r="K56" s="180"/>
      <c r="M56" s="180"/>
      <c r="O56" s="180"/>
      <c r="P56" s="180"/>
      <c r="Y56" s="139"/>
      <c r="Z56" s="149"/>
      <c r="AA56" s="149"/>
      <c r="AB56" s="149"/>
      <c r="AC56" s="149"/>
      <c r="AD56" s="184"/>
      <c r="AE56" s="184"/>
      <c r="AF56" s="184"/>
      <c r="AG56" s="184"/>
      <c r="AH56" s="184"/>
      <c r="AI56" s="149"/>
      <c r="AJ56" s="149"/>
      <c r="AK56" s="149"/>
      <c r="AL56" s="149"/>
      <c r="AT56" s="184"/>
      <c r="AZ56" s="184"/>
    </row>
    <row r="57" spans="1:79" s="151" customFormat="1" ht="10" x14ac:dyDescent="0.15">
      <c r="K57" s="180"/>
      <c r="M57" s="180"/>
      <c r="O57" s="180"/>
      <c r="P57" s="180"/>
      <c r="Y57" s="139"/>
      <c r="Z57" s="149"/>
      <c r="AA57" s="149"/>
      <c r="AB57" s="149"/>
      <c r="AC57" s="149"/>
      <c r="AD57" s="184"/>
      <c r="AE57" s="184"/>
      <c r="AF57" s="184"/>
      <c r="AG57" s="184"/>
      <c r="AH57" s="184"/>
      <c r="AI57" s="149"/>
      <c r="AJ57" s="149"/>
      <c r="AK57" s="149"/>
      <c r="AL57" s="149"/>
      <c r="AT57" s="184"/>
      <c r="AZ57" s="184"/>
    </row>
    <row r="58" spans="1:79" s="151" customFormat="1" ht="10" x14ac:dyDescent="0.15">
      <c r="K58" s="180"/>
      <c r="M58" s="180"/>
      <c r="O58" s="180"/>
      <c r="P58" s="180"/>
      <c r="Y58" s="139"/>
      <c r="Z58" s="149"/>
      <c r="AA58" s="149"/>
      <c r="AB58" s="149"/>
      <c r="AC58" s="149"/>
      <c r="AD58" s="184"/>
      <c r="AE58" s="184"/>
      <c r="AF58" s="184"/>
      <c r="AG58" s="184"/>
      <c r="AH58" s="184"/>
      <c r="AI58" s="149"/>
      <c r="AJ58" s="149"/>
      <c r="AK58" s="149"/>
      <c r="AL58" s="149"/>
      <c r="AT58" s="184"/>
      <c r="AZ58" s="184"/>
    </row>
    <row r="59" spans="1:79" s="151" customFormat="1" ht="10" x14ac:dyDescent="0.15">
      <c r="K59" s="180"/>
      <c r="M59" s="180"/>
      <c r="O59" s="180"/>
      <c r="P59" s="180"/>
      <c r="Y59" s="139"/>
      <c r="Z59" s="149"/>
      <c r="AA59" s="149"/>
      <c r="AB59" s="149"/>
      <c r="AC59" s="149"/>
      <c r="AD59" s="184"/>
      <c r="AE59" s="184"/>
      <c r="AF59" s="184"/>
      <c r="AG59" s="184"/>
      <c r="AH59" s="184"/>
      <c r="AI59" s="149"/>
      <c r="AJ59" s="149"/>
      <c r="AK59" s="149"/>
      <c r="AL59" s="149"/>
      <c r="AT59" s="184"/>
      <c r="AZ59" s="184"/>
    </row>
    <row r="60" spans="1:79" s="151" customFormat="1" ht="10" x14ac:dyDescent="0.15">
      <c r="K60" s="180"/>
      <c r="M60" s="180"/>
      <c r="O60" s="180"/>
      <c r="P60" s="180"/>
      <c r="Y60" s="139"/>
      <c r="Z60" s="149"/>
      <c r="AA60" s="149"/>
      <c r="AB60" s="149"/>
      <c r="AC60" s="149"/>
      <c r="AD60" s="149"/>
      <c r="AE60" s="149"/>
      <c r="AF60" s="149"/>
      <c r="AG60" s="149"/>
      <c r="AH60" s="149"/>
      <c r="AI60" s="149"/>
      <c r="AJ60" s="149"/>
      <c r="AK60" s="149"/>
      <c r="AL60" s="149"/>
      <c r="AT60" s="149"/>
      <c r="AZ60" s="149"/>
    </row>
    <row r="61" spans="1:79" s="151" customFormat="1" ht="10" x14ac:dyDescent="0.15">
      <c r="K61" s="180"/>
      <c r="M61" s="180"/>
      <c r="O61" s="180"/>
      <c r="P61" s="180"/>
      <c r="Y61" s="139"/>
      <c r="Z61" s="149"/>
      <c r="AA61" s="149"/>
      <c r="AB61" s="149"/>
      <c r="AC61" s="149"/>
      <c r="AD61" s="149"/>
      <c r="AE61" s="149"/>
      <c r="AF61" s="149"/>
      <c r="AG61" s="149"/>
      <c r="AH61" s="149"/>
      <c r="AI61" s="149"/>
      <c r="AJ61" s="149"/>
      <c r="AK61" s="149"/>
      <c r="AL61" s="149"/>
      <c r="AT61" s="149"/>
      <c r="AZ61" s="149"/>
    </row>
    <row r="62" spans="1:79" s="151" customFormat="1" ht="10" x14ac:dyDescent="0.15">
      <c r="K62" s="180"/>
      <c r="M62" s="180"/>
      <c r="O62" s="180"/>
      <c r="P62" s="180"/>
      <c r="Y62" s="139"/>
      <c r="Z62" s="149"/>
      <c r="AA62" s="149"/>
      <c r="AB62" s="149"/>
      <c r="AC62" s="149"/>
      <c r="AD62" s="149"/>
      <c r="AE62" s="149"/>
      <c r="AF62" s="149"/>
      <c r="AG62" s="149"/>
      <c r="AH62" s="149"/>
      <c r="AI62" s="149"/>
      <c r="AJ62" s="149"/>
      <c r="AK62" s="149"/>
      <c r="AL62" s="149"/>
      <c r="AT62" s="149"/>
      <c r="AZ62" s="149"/>
    </row>
    <row r="63" spans="1:79" s="151" customFormat="1" ht="10" x14ac:dyDescent="0.15">
      <c r="G63" s="179"/>
      <c r="I63" s="180"/>
      <c r="J63" s="175"/>
      <c r="K63" s="180"/>
      <c r="L63" s="182"/>
      <c r="M63" s="180"/>
      <c r="N63" s="182"/>
      <c r="O63" s="180"/>
      <c r="P63" s="146"/>
      <c r="R63" s="183"/>
      <c r="S63" s="183"/>
      <c r="Y63" s="139"/>
      <c r="Z63" s="149"/>
      <c r="AA63" s="149"/>
      <c r="AB63" s="149"/>
      <c r="AC63" s="149"/>
      <c r="AD63" s="149"/>
      <c r="AE63" s="149"/>
      <c r="AF63" s="149"/>
      <c r="AG63" s="149"/>
      <c r="AH63" s="149"/>
      <c r="AI63" s="149"/>
      <c r="AJ63" s="149"/>
      <c r="AK63" s="149"/>
      <c r="AL63" s="149"/>
      <c r="AT63" s="149"/>
      <c r="AZ63" s="149"/>
    </row>
    <row r="64" spans="1:79" s="151" customFormat="1" ht="10" x14ac:dyDescent="0.15">
      <c r="G64" s="179"/>
      <c r="I64" s="180"/>
      <c r="J64" s="175"/>
      <c r="K64" s="180"/>
      <c r="L64" s="182"/>
      <c r="M64" s="180"/>
      <c r="N64" s="182"/>
      <c r="O64" s="180"/>
      <c r="P64" s="146"/>
      <c r="R64" s="183"/>
      <c r="S64" s="183"/>
      <c r="Y64" s="139"/>
      <c r="Z64" s="149"/>
      <c r="AA64" s="149"/>
      <c r="AB64" s="149"/>
      <c r="AC64" s="149"/>
      <c r="AD64" s="149"/>
      <c r="AE64" s="149"/>
      <c r="AF64" s="149"/>
      <c r="AG64" s="149"/>
      <c r="AH64" s="149"/>
      <c r="AI64" s="149"/>
      <c r="AJ64" s="149"/>
      <c r="AK64" s="149"/>
      <c r="AL64" s="149"/>
      <c r="AT64" s="149"/>
      <c r="AZ64" s="149"/>
    </row>
    <row r="65" spans="7:52" s="151" customFormat="1" ht="10" x14ac:dyDescent="0.15">
      <c r="G65" s="179"/>
      <c r="I65" s="180"/>
      <c r="J65" s="175"/>
      <c r="K65" s="180"/>
      <c r="L65" s="182"/>
      <c r="M65" s="180"/>
      <c r="N65" s="182"/>
      <c r="O65" s="180"/>
      <c r="P65" s="146"/>
      <c r="R65" s="183"/>
      <c r="S65" s="183"/>
      <c r="Y65" s="139"/>
      <c r="Z65" s="149"/>
      <c r="AA65" s="149"/>
      <c r="AB65" s="149"/>
      <c r="AC65" s="149"/>
      <c r="AD65" s="149"/>
      <c r="AE65" s="149"/>
      <c r="AF65" s="149"/>
      <c r="AG65" s="149"/>
      <c r="AH65" s="149"/>
      <c r="AI65" s="149"/>
      <c r="AJ65" s="149"/>
      <c r="AK65" s="149"/>
      <c r="AL65" s="149"/>
      <c r="AT65" s="149"/>
      <c r="AZ65" s="149"/>
    </row>
    <row r="66" spans="7:52" s="151" customFormat="1" ht="10" x14ac:dyDescent="0.15">
      <c r="G66" s="179"/>
      <c r="I66" s="180"/>
      <c r="J66" s="175"/>
      <c r="K66" s="180"/>
      <c r="L66" s="182"/>
      <c r="M66" s="180"/>
      <c r="N66" s="182"/>
      <c r="O66" s="180"/>
      <c r="P66" s="146"/>
      <c r="R66" s="183"/>
      <c r="S66" s="183"/>
      <c r="Y66" s="139"/>
      <c r="Z66" s="149"/>
      <c r="AA66" s="149"/>
      <c r="AB66" s="149"/>
      <c r="AC66" s="149"/>
      <c r="AD66" s="149"/>
      <c r="AE66" s="149"/>
      <c r="AF66" s="149"/>
      <c r="AG66" s="149"/>
      <c r="AH66" s="149"/>
      <c r="AI66" s="149"/>
      <c r="AJ66" s="149"/>
      <c r="AK66" s="149"/>
      <c r="AL66" s="149"/>
      <c r="AT66" s="149"/>
      <c r="AZ66" s="149"/>
    </row>
    <row r="67" spans="7:52" s="151" customFormat="1" ht="10" x14ac:dyDescent="0.15">
      <c r="G67" s="179"/>
      <c r="I67" s="180"/>
      <c r="J67" s="175"/>
      <c r="K67" s="180"/>
      <c r="L67" s="182"/>
      <c r="M67" s="180"/>
      <c r="N67" s="182"/>
      <c r="O67" s="180"/>
      <c r="P67" s="146"/>
      <c r="R67" s="183"/>
      <c r="S67" s="183"/>
      <c r="Y67" s="139"/>
      <c r="Z67" s="149"/>
      <c r="AA67" s="149"/>
      <c r="AB67" s="149"/>
      <c r="AC67" s="149"/>
      <c r="AD67" s="149"/>
      <c r="AE67" s="149"/>
      <c r="AF67" s="149"/>
      <c r="AG67" s="149"/>
      <c r="AH67" s="149"/>
      <c r="AI67" s="149"/>
      <c r="AJ67" s="149"/>
      <c r="AK67" s="149"/>
      <c r="AL67" s="149"/>
      <c r="AT67" s="149"/>
      <c r="AZ67" s="149"/>
    </row>
    <row r="68" spans="7:52" s="151" customFormat="1" ht="10" x14ac:dyDescent="0.15">
      <c r="G68" s="179"/>
      <c r="I68" s="180"/>
      <c r="J68" s="175"/>
      <c r="K68" s="180"/>
      <c r="L68" s="182"/>
      <c r="M68" s="180"/>
      <c r="N68" s="182"/>
      <c r="O68" s="180"/>
      <c r="P68" s="146"/>
      <c r="R68" s="183"/>
      <c r="S68" s="183"/>
      <c r="Y68" s="139"/>
      <c r="Z68" s="149"/>
      <c r="AA68" s="149"/>
      <c r="AB68" s="149"/>
      <c r="AC68" s="149"/>
      <c r="AD68" s="149"/>
      <c r="AE68" s="149"/>
      <c r="AF68" s="149"/>
      <c r="AG68" s="149"/>
      <c r="AH68" s="149"/>
      <c r="AI68" s="149"/>
      <c r="AJ68" s="149"/>
      <c r="AK68" s="149"/>
      <c r="AL68" s="149"/>
      <c r="AT68" s="149"/>
      <c r="AZ68" s="149"/>
    </row>
    <row r="69" spans="7:52" s="151" customFormat="1" ht="10" x14ac:dyDescent="0.15">
      <c r="G69" s="179"/>
      <c r="I69" s="180"/>
      <c r="J69" s="175"/>
      <c r="K69" s="180"/>
      <c r="L69" s="182"/>
      <c r="M69" s="180"/>
      <c r="N69" s="182"/>
      <c r="O69" s="180"/>
      <c r="P69" s="146"/>
      <c r="R69" s="183"/>
      <c r="S69" s="183"/>
      <c r="Y69" s="139"/>
      <c r="Z69" s="149"/>
      <c r="AA69" s="149"/>
      <c r="AB69" s="149"/>
      <c r="AC69" s="149"/>
      <c r="AD69" s="149"/>
      <c r="AE69" s="149"/>
      <c r="AF69" s="149"/>
      <c r="AG69" s="149"/>
      <c r="AH69" s="149"/>
      <c r="AI69" s="149"/>
      <c r="AJ69" s="149"/>
      <c r="AK69" s="149"/>
      <c r="AL69" s="149"/>
      <c r="AT69" s="149"/>
      <c r="AZ69" s="149"/>
    </row>
    <row r="70" spans="7:52" s="151" customFormat="1" ht="10" x14ac:dyDescent="0.15">
      <c r="G70" s="179"/>
      <c r="I70" s="180"/>
      <c r="J70" s="175"/>
      <c r="K70" s="180"/>
      <c r="L70" s="182"/>
      <c r="M70" s="180"/>
      <c r="N70" s="182"/>
      <c r="O70" s="180"/>
      <c r="P70" s="146"/>
      <c r="R70" s="183"/>
      <c r="S70" s="183"/>
      <c r="Y70" s="139"/>
      <c r="Z70" s="149"/>
      <c r="AA70" s="149"/>
      <c r="AB70" s="149"/>
      <c r="AC70" s="149"/>
      <c r="AD70" s="149"/>
      <c r="AE70" s="149"/>
      <c r="AF70" s="149"/>
      <c r="AG70" s="149"/>
      <c r="AH70" s="149"/>
      <c r="AI70" s="149"/>
      <c r="AJ70" s="149"/>
      <c r="AK70" s="149"/>
      <c r="AL70" s="149"/>
      <c r="AT70" s="149"/>
      <c r="AZ70" s="149"/>
    </row>
    <row r="71" spans="7:52" s="151" customFormat="1" ht="10" x14ac:dyDescent="0.15">
      <c r="G71" s="179"/>
      <c r="I71" s="180"/>
      <c r="J71" s="175"/>
      <c r="K71" s="180"/>
      <c r="L71" s="182"/>
      <c r="M71" s="180"/>
      <c r="N71" s="182"/>
      <c r="O71" s="180"/>
      <c r="P71" s="146"/>
      <c r="R71" s="183"/>
      <c r="S71" s="183"/>
      <c r="Y71" s="139"/>
      <c r="Z71" s="149"/>
      <c r="AA71" s="149"/>
      <c r="AB71" s="149"/>
      <c r="AC71" s="149"/>
      <c r="AD71" s="149"/>
      <c r="AE71" s="149"/>
      <c r="AF71" s="149"/>
      <c r="AG71" s="149"/>
      <c r="AH71" s="149"/>
      <c r="AI71" s="149"/>
      <c r="AJ71" s="149"/>
      <c r="AK71" s="149"/>
      <c r="AL71" s="149"/>
      <c r="AT71" s="149"/>
      <c r="AZ71" s="149"/>
    </row>
    <row r="72" spans="7:52" s="151" customFormat="1" x14ac:dyDescent="0.15">
      <c r="G72" s="179"/>
      <c r="I72" s="180"/>
      <c r="J72" s="175"/>
      <c r="K72" s="180"/>
      <c r="L72" s="182"/>
      <c r="M72" s="180"/>
      <c r="N72" s="182"/>
      <c r="O72" s="180"/>
      <c r="P72" s="185"/>
      <c r="R72" s="183"/>
      <c r="S72" s="183"/>
      <c r="Y72" s="139"/>
      <c r="Z72" s="149"/>
      <c r="AA72" s="149"/>
      <c r="AB72" s="149"/>
      <c r="AC72" s="149"/>
      <c r="AD72" s="149"/>
      <c r="AE72" s="149"/>
      <c r="AF72" s="149"/>
      <c r="AG72" s="149"/>
      <c r="AH72" s="149"/>
      <c r="AI72" s="149"/>
      <c r="AJ72" s="149"/>
      <c r="AK72" s="149"/>
      <c r="AL72" s="149"/>
      <c r="AT72" s="149"/>
      <c r="AZ72" s="149"/>
    </row>
    <row r="73" spans="7:52" s="151" customFormat="1" x14ac:dyDescent="0.15">
      <c r="G73" s="179"/>
      <c r="I73" s="180"/>
      <c r="J73" s="175"/>
      <c r="K73" s="180"/>
      <c r="L73" s="182"/>
      <c r="M73" s="180"/>
      <c r="N73" s="182"/>
      <c r="O73" s="180"/>
      <c r="P73" s="185"/>
      <c r="R73" s="183"/>
      <c r="S73" s="183"/>
      <c r="Y73" s="139"/>
      <c r="Z73" s="97"/>
      <c r="AA73" s="97"/>
      <c r="AB73" s="149"/>
      <c r="AC73" s="97"/>
      <c r="AD73" s="97"/>
      <c r="AE73" s="97"/>
      <c r="AF73" s="97"/>
      <c r="AG73" s="97"/>
      <c r="AH73" s="97"/>
      <c r="AI73" s="97"/>
      <c r="AJ73" s="97"/>
      <c r="AK73" s="97"/>
      <c r="AL73" s="97"/>
      <c r="AM73"/>
      <c r="AT73" s="97"/>
      <c r="AZ73" s="97"/>
    </row>
    <row r="74" spans="7:52" s="151" customFormat="1" x14ac:dyDescent="0.15">
      <c r="G74" s="179"/>
      <c r="I74" s="180"/>
      <c r="J74" s="175"/>
      <c r="K74" s="180"/>
      <c r="L74" s="182"/>
      <c r="M74" s="180"/>
      <c r="N74" s="182"/>
      <c r="O74" s="180"/>
      <c r="P74" s="185"/>
      <c r="R74" s="183"/>
      <c r="S74" s="183"/>
      <c r="Y74" s="139"/>
      <c r="Z74" s="97"/>
      <c r="AA74" s="97"/>
      <c r="AB74" s="149"/>
      <c r="AC74" s="97"/>
      <c r="AD74" s="97"/>
      <c r="AE74" s="97"/>
      <c r="AF74" s="97"/>
      <c r="AG74" s="97"/>
      <c r="AH74" s="97"/>
      <c r="AI74" s="97"/>
      <c r="AJ74" s="97"/>
      <c r="AK74" s="97"/>
      <c r="AL74" s="97"/>
      <c r="AM74"/>
      <c r="AN74"/>
      <c r="AO74"/>
      <c r="AP74"/>
      <c r="AQ74"/>
      <c r="AR74"/>
      <c r="AT74" s="97"/>
      <c r="AU74"/>
      <c r="AV74"/>
      <c r="AW74"/>
      <c r="AX74"/>
      <c r="AZ74" s="97"/>
    </row>
    <row r="75" spans="7:52" s="151" customFormat="1" x14ac:dyDescent="0.15">
      <c r="G75" s="179"/>
      <c r="I75" s="180"/>
      <c r="J75" s="175"/>
      <c r="K75" s="180"/>
      <c r="L75" s="182"/>
      <c r="M75" s="180"/>
      <c r="N75" s="182"/>
      <c r="O75" s="180"/>
      <c r="P75" s="146"/>
      <c r="R75" s="183"/>
      <c r="S75" s="183"/>
      <c r="Y75" s="139"/>
      <c r="Z75" s="97"/>
      <c r="AA75" s="97"/>
      <c r="AB75" s="149"/>
      <c r="AC75" s="97"/>
      <c r="AD75" s="97"/>
      <c r="AE75" s="97"/>
      <c r="AF75" s="97"/>
      <c r="AG75" s="97"/>
      <c r="AH75" s="97"/>
      <c r="AI75" s="97"/>
      <c r="AJ75" s="97"/>
      <c r="AK75" s="97"/>
      <c r="AL75" s="97"/>
      <c r="AM75"/>
      <c r="AN75"/>
      <c r="AO75"/>
      <c r="AP75"/>
      <c r="AQ75"/>
      <c r="AR75"/>
      <c r="AT75" s="97"/>
      <c r="AU75"/>
      <c r="AV75"/>
      <c r="AW75"/>
      <c r="AX75"/>
      <c r="AZ75" s="97"/>
    </row>
    <row r="76" spans="7:52" s="151" customFormat="1" x14ac:dyDescent="0.15">
      <c r="G76" s="179"/>
      <c r="I76" s="180"/>
      <c r="J76" s="175"/>
      <c r="K76" s="180"/>
      <c r="L76" s="182"/>
      <c r="M76" s="180"/>
      <c r="N76" s="182"/>
      <c r="O76" s="180"/>
      <c r="P76" s="146"/>
      <c r="R76" s="183"/>
      <c r="S76" s="183"/>
      <c r="Y76" s="139"/>
      <c r="Z76" s="149"/>
      <c r="AA76" s="149"/>
      <c r="AB76" s="149"/>
      <c r="AC76" s="149"/>
      <c r="AD76" s="149"/>
      <c r="AE76" s="149"/>
      <c r="AF76" s="149"/>
      <c r="AG76" s="149"/>
      <c r="AH76" s="149"/>
      <c r="AI76" s="149"/>
      <c r="AJ76" s="149"/>
      <c r="AK76" s="149"/>
      <c r="AL76" s="149"/>
      <c r="AN76"/>
      <c r="AO76"/>
      <c r="AP76"/>
      <c r="AQ76"/>
      <c r="AR76"/>
      <c r="AT76" s="149"/>
      <c r="AU76"/>
      <c r="AV76"/>
      <c r="AW76"/>
      <c r="AX76"/>
      <c r="AZ76" s="149"/>
    </row>
    <row r="77" spans="7:52" s="151" customFormat="1" ht="10" x14ac:dyDescent="0.15">
      <c r="G77" s="179"/>
      <c r="I77" s="180"/>
      <c r="J77" s="175"/>
      <c r="K77" s="180"/>
      <c r="L77" s="182"/>
      <c r="M77" s="180"/>
      <c r="N77" s="182"/>
      <c r="O77" s="180"/>
      <c r="P77" s="146"/>
      <c r="R77" s="183"/>
      <c r="S77" s="183"/>
      <c r="Y77" s="139"/>
      <c r="Z77" s="149"/>
      <c r="AA77" s="149"/>
      <c r="AB77" s="149"/>
      <c r="AC77" s="149"/>
      <c r="AD77" s="149"/>
      <c r="AE77" s="149"/>
      <c r="AF77" s="149"/>
      <c r="AG77" s="149"/>
      <c r="AH77" s="149"/>
      <c r="AI77" s="149"/>
      <c r="AJ77" s="149"/>
      <c r="AK77" s="149"/>
      <c r="AL77" s="149"/>
      <c r="AT77" s="149"/>
      <c r="AZ77" s="149"/>
    </row>
    <row r="78" spans="7:52" x14ac:dyDescent="0.15">
      <c r="P78" s="146"/>
      <c r="Y78" s="139"/>
      <c r="Z78" s="149"/>
      <c r="AA78" s="149"/>
      <c r="AB78" s="149"/>
      <c r="AC78" s="149"/>
      <c r="AD78" s="149"/>
      <c r="AE78" s="149"/>
      <c r="AF78" s="149"/>
      <c r="AG78" s="149"/>
      <c r="AH78" s="149"/>
      <c r="AI78" s="149"/>
      <c r="AJ78" s="149"/>
      <c r="AK78" s="149"/>
      <c r="AL78" s="149"/>
      <c r="AM78" s="151"/>
      <c r="AN78" s="151"/>
      <c r="AO78" s="151"/>
      <c r="AP78" s="151"/>
      <c r="AQ78" s="151"/>
      <c r="AR78" s="151"/>
      <c r="AT78" s="149"/>
      <c r="AU78" s="151"/>
      <c r="AV78" s="151"/>
      <c r="AW78" s="151"/>
      <c r="AX78" s="151"/>
      <c r="AZ78" s="149"/>
    </row>
    <row r="79" spans="7:52" x14ac:dyDescent="0.15">
      <c r="P79" s="146"/>
      <c r="Y79" s="139"/>
      <c r="Z79" s="149"/>
      <c r="AA79" s="149"/>
      <c r="AB79" s="149"/>
      <c r="AC79" s="149"/>
      <c r="AD79" s="149"/>
      <c r="AE79" s="149"/>
      <c r="AF79" s="149"/>
      <c r="AG79" s="149"/>
      <c r="AH79" s="149"/>
      <c r="AI79" s="149"/>
      <c r="AJ79" s="149"/>
      <c r="AK79" s="149"/>
      <c r="AL79" s="149"/>
      <c r="AM79" s="151"/>
      <c r="AN79" s="151"/>
      <c r="AO79" s="151"/>
      <c r="AP79" s="151"/>
      <c r="AQ79" s="151"/>
      <c r="AR79" s="151"/>
      <c r="AT79" s="149"/>
      <c r="AU79" s="151"/>
      <c r="AV79" s="151"/>
      <c r="AW79" s="151"/>
      <c r="AX79" s="151"/>
      <c r="AZ79" s="149"/>
    </row>
    <row r="80" spans="7:52" x14ac:dyDescent="0.15">
      <c r="P80" s="146"/>
      <c r="Y80" s="139"/>
      <c r="Z80" s="149"/>
      <c r="AA80" s="149"/>
      <c r="AB80" s="149"/>
      <c r="AC80" s="149"/>
      <c r="AD80" s="149"/>
      <c r="AE80" s="149"/>
      <c r="AF80" s="149"/>
      <c r="AG80" s="149"/>
      <c r="AH80" s="149"/>
      <c r="AI80" s="149"/>
      <c r="AJ80" s="149"/>
      <c r="AK80" s="149"/>
      <c r="AL80" s="149"/>
      <c r="AM80" s="151"/>
      <c r="AN80" s="151"/>
      <c r="AO80" s="151"/>
      <c r="AP80" s="151"/>
      <c r="AQ80" s="151"/>
      <c r="AR80" s="151"/>
      <c r="AT80" s="149"/>
      <c r="AU80" s="151"/>
      <c r="AV80" s="151"/>
      <c r="AW80" s="151"/>
      <c r="AX80" s="151"/>
      <c r="AZ80" s="149"/>
    </row>
    <row r="81" spans="7:52" s="151" customFormat="1" ht="10" x14ac:dyDescent="0.15">
      <c r="G81" s="179"/>
      <c r="I81" s="180"/>
      <c r="J81" s="175"/>
      <c r="K81" s="180"/>
      <c r="L81" s="182"/>
      <c r="M81" s="180"/>
      <c r="N81" s="182"/>
      <c r="O81" s="180"/>
      <c r="P81" s="146"/>
      <c r="R81" s="183"/>
      <c r="S81" s="183"/>
      <c r="Y81" s="139"/>
      <c r="Z81" s="149"/>
      <c r="AA81" s="149"/>
      <c r="AB81" s="149"/>
      <c r="AC81" s="149"/>
      <c r="AD81" s="149"/>
      <c r="AE81" s="149"/>
      <c r="AF81" s="149"/>
      <c r="AG81" s="149"/>
      <c r="AH81" s="149"/>
      <c r="AI81" s="149"/>
      <c r="AJ81" s="149"/>
      <c r="AK81" s="149"/>
      <c r="AL81" s="149"/>
      <c r="AT81" s="149"/>
      <c r="AZ81" s="149"/>
    </row>
    <row r="82" spans="7:52" s="151" customFormat="1" ht="10" x14ac:dyDescent="0.15">
      <c r="G82" s="179"/>
      <c r="I82" s="180"/>
      <c r="J82" s="175"/>
      <c r="K82" s="180"/>
      <c r="L82" s="182"/>
      <c r="M82" s="180"/>
      <c r="N82" s="182"/>
      <c r="O82" s="180"/>
      <c r="P82" s="146"/>
      <c r="R82" s="183"/>
      <c r="S82" s="183"/>
      <c r="Y82" s="139"/>
      <c r="Z82" s="149"/>
      <c r="AA82" s="149"/>
      <c r="AB82" s="149"/>
      <c r="AC82" s="149"/>
      <c r="AD82" s="149"/>
      <c r="AE82" s="149"/>
      <c r="AF82" s="149"/>
      <c r="AG82" s="149"/>
      <c r="AH82" s="149"/>
      <c r="AI82" s="149"/>
      <c r="AJ82" s="149"/>
      <c r="AK82" s="149"/>
      <c r="AL82" s="149"/>
      <c r="AT82" s="149"/>
      <c r="AZ82" s="149"/>
    </row>
    <row r="83" spans="7:52" s="151" customFormat="1" ht="10" x14ac:dyDescent="0.15">
      <c r="G83" s="179"/>
      <c r="I83" s="180"/>
      <c r="J83" s="175"/>
      <c r="K83" s="180"/>
      <c r="L83" s="182"/>
      <c r="M83" s="180"/>
      <c r="N83" s="182"/>
      <c r="O83" s="180"/>
      <c r="P83" s="146"/>
      <c r="R83" s="183"/>
      <c r="S83" s="183"/>
      <c r="Y83" s="139"/>
      <c r="Z83" s="149"/>
      <c r="AA83" s="149"/>
      <c r="AB83" s="149"/>
      <c r="AC83" s="149"/>
      <c r="AD83" s="149"/>
      <c r="AE83" s="149"/>
      <c r="AF83" s="149"/>
      <c r="AG83" s="149"/>
      <c r="AH83" s="149"/>
      <c r="AI83" s="149"/>
      <c r="AJ83" s="149"/>
      <c r="AK83" s="149"/>
      <c r="AL83" s="149"/>
      <c r="AT83" s="149"/>
      <c r="AZ83" s="149"/>
    </row>
    <row r="84" spans="7:52" s="151" customFormat="1" ht="10" x14ac:dyDescent="0.15">
      <c r="G84" s="179"/>
      <c r="I84" s="180"/>
      <c r="J84" s="175"/>
      <c r="K84" s="180"/>
      <c r="L84" s="182"/>
      <c r="M84" s="180"/>
      <c r="N84" s="182"/>
      <c r="O84" s="180"/>
      <c r="P84" s="146"/>
      <c r="R84" s="183"/>
      <c r="S84" s="183"/>
      <c r="Y84" s="139"/>
      <c r="Z84" s="149"/>
      <c r="AA84" s="149"/>
      <c r="AB84" s="149"/>
      <c r="AC84" s="149"/>
      <c r="AD84" s="149"/>
      <c r="AE84" s="149"/>
      <c r="AF84" s="149"/>
      <c r="AG84" s="149"/>
      <c r="AH84" s="149"/>
      <c r="AI84" s="149"/>
      <c r="AJ84" s="149"/>
      <c r="AK84" s="149"/>
      <c r="AL84" s="149"/>
      <c r="AT84" s="149"/>
      <c r="AZ84" s="149"/>
    </row>
    <row r="85" spans="7:52" s="151" customFormat="1" ht="10" x14ac:dyDescent="0.15">
      <c r="G85" s="179"/>
      <c r="I85" s="180"/>
      <c r="J85" s="175"/>
      <c r="K85" s="180"/>
      <c r="L85" s="182"/>
      <c r="M85" s="180"/>
      <c r="N85" s="182"/>
      <c r="O85" s="180"/>
      <c r="P85" s="146"/>
      <c r="R85" s="183"/>
      <c r="S85" s="183"/>
      <c r="Y85" s="139"/>
      <c r="Z85" s="149"/>
      <c r="AA85" s="149"/>
      <c r="AB85" s="149"/>
      <c r="AC85" s="149"/>
      <c r="AD85" s="149"/>
      <c r="AE85" s="149"/>
      <c r="AF85" s="149"/>
      <c r="AG85" s="149"/>
      <c r="AH85" s="149"/>
      <c r="AI85" s="149"/>
      <c r="AJ85" s="149"/>
      <c r="AK85" s="149"/>
      <c r="AL85" s="149"/>
      <c r="AT85" s="149"/>
      <c r="AZ85" s="149"/>
    </row>
    <row r="86" spans="7:52" s="151" customFormat="1" ht="10" x14ac:dyDescent="0.15">
      <c r="G86" s="179"/>
      <c r="I86" s="180"/>
      <c r="J86" s="175"/>
      <c r="K86" s="180"/>
      <c r="L86" s="182"/>
      <c r="M86" s="180"/>
      <c r="N86" s="182"/>
      <c r="O86" s="180"/>
      <c r="P86" s="146"/>
      <c r="R86" s="183"/>
      <c r="S86" s="183"/>
      <c r="Y86" s="181"/>
      <c r="Z86" s="149"/>
      <c r="AA86" s="149"/>
      <c r="AB86" s="149"/>
      <c r="AC86" s="149"/>
      <c r="AD86" s="149"/>
      <c r="AE86" s="149"/>
      <c r="AF86" s="149"/>
      <c r="AG86" s="149"/>
      <c r="AH86" s="149"/>
      <c r="AI86" s="149"/>
      <c r="AJ86" s="149"/>
      <c r="AK86" s="149"/>
      <c r="AL86" s="149"/>
      <c r="AT86" s="149"/>
      <c r="AZ86" s="149"/>
    </row>
    <row r="87" spans="7:52" s="151" customFormat="1" ht="10" x14ac:dyDescent="0.15">
      <c r="G87" s="179"/>
      <c r="I87" s="180"/>
      <c r="J87" s="175"/>
      <c r="K87" s="180"/>
      <c r="L87" s="182"/>
      <c r="M87" s="180"/>
      <c r="N87" s="182"/>
      <c r="O87" s="180"/>
      <c r="P87" s="146"/>
      <c r="R87" s="183"/>
      <c r="S87" s="183"/>
      <c r="Y87" s="181"/>
      <c r="Z87" s="149"/>
      <c r="AA87" s="149"/>
      <c r="AB87" s="149"/>
      <c r="AC87" s="149"/>
      <c r="AD87" s="149"/>
      <c r="AE87" s="149"/>
      <c r="AF87" s="149"/>
      <c r="AG87" s="149"/>
      <c r="AH87" s="149"/>
      <c r="AI87" s="149"/>
      <c r="AJ87" s="149"/>
      <c r="AK87" s="149"/>
      <c r="AL87" s="149"/>
      <c r="AT87" s="149"/>
      <c r="AZ87" s="149"/>
    </row>
    <row r="88" spans="7:52" s="151" customFormat="1" ht="10" x14ac:dyDescent="0.15">
      <c r="G88" s="179"/>
      <c r="I88" s="180"/>
      <c r="J88" s="175"/>
      <c r="K88" s="180"/>
      <c r="L88" s="182"/>
      <c r="M88" s="180"/>
      <c r="N88" s="182"/>
      <c r="O88" s="180"/>
      <c r="P88" s="146"/>
      <c r="R88" s="183"/>
      <c r="S88" s="183"/>
      <c r="Z88" s="149"/>
      <c r="AA88" s="149"/>
      <c r="AB88" s="149"/>
      <c r="AC88" s="149"/>
      <c r="AD88" s="149"/>
      <c r="AE88" s="149"/>
      <c r="AF88" s="149"/>
      <c r="AG88" s="149"/>
      <c r="AH88" s="149"/>
      <c r="AI88" s="149"/>
      <c r="AJ88" s="149"/>
      <c r="AK88" s="149"/>
      <c r="AL88" s="149"/>
      <c r="AT88" s="149"/>
      <c r="AZ88" s="149"/>
    </row>
    <row r="89" spans="7:52" s="151" customFormat="1" ht="10" x14ac:dyDescent="0.15">
      <c r="G89" s="179"/>
      <c r="I89" s="180"/>
      <c r="J89" s="175"/>
      <c r="K89" s="180"/>
      <c r="L89" s="182"/>
      <c r="M89" s="180"/>
      <c r="N89" s="182"/>
      <c r="O89" s="180"/>
      <c r="P89" s="146"/>
      <c r="R89" s="183"/>
      <c r="S89" s="183"/>
      <c r="Z89" s="149"/>
      <c r="AA89" s="149"/>
      <c r="AB89" s="149"/>
      <c r="AC89" s="149"/>
      <c r="AD89" s="149"/>
      <c r="AE89" s="149"/>
      <c r="AF89" s="149"/>
      <c r="AG89" s="149"/>
      <c r="AH89" s="149"/>
      <c r="AI89" s="149"/>
      <c r="AJ89" s="149"/>
      <c r="AK89" s="149"/>
      <c r="AL89" s="149"/>
      <c r="AT89" s="149"/>
      <c r="AZ89" s="149"/>
    </row>
    <row r="90" spans="7:52" s="151" customFormat="1" ht="10" x14ac:dyDescent="0.15">
      <c r="G90" s="179"/>
      <c r="I90" s="180"/>
      <c r="J90" s="175"/>
      <c r="K90" s="180"/>
      <c r="L90" s="182"/>
      <c r="M90" s="180"/>
      <c r="N90" s="182"/>
      <c r="O90" s="180"/>
      <c r="P90" s="146"/>
      <c r="R90" s="183"/>
      <c r="S90" s="183"/>
      <c r="Z90" s="149"/>
      <c r="AA90" s="149"/>
      <c r="AB90" s="149"/>
      <c r="AC90" s="149"/>
      <c r="AD90" s="149"/>
      <c r="AE90" s="149"/>
      <c r="AF90" s="149"/>
      <c r="AG90" s="149"/>
      <c r="AH90" s="149"/>
      <c r="AI90" s="149"/>
      <c r="AJ90" s="149"/>
      <c r="AK90" s="149"/>
      <c r="AL90" s="149"/>
      <c r="AT90" s="149"/>
      <c r="AZ90" s="149"/>
    </row>
    <row r="91" spans="7:52" s="151" customFormat="1" ht="10" x14ac:dyDescent="0.15">
      <c r="G91" s="179"/>
      <c r="I91" s="180"/>
      <c r="J91" s="175"/>
      <c r="K91" s="180"/>
      <c r="L91" s="182"/>
      <c r="M91" s="180"/>
      <c r="N91" s="182"/>
      <c r="O91" s="180"/>
      <c r="P91" s="146"/>
      <c r="R91" s="183"/>
      <c r="S91" s="183"/>
      <c r="Y91" s="139"/>
      <c r="Z91" s="149"/>
      <c r="AA91" s="149"/>
      <c r="AB91" s="149"/>
      <c r="AC91" s="149"/>
      <c r="AD91" s="149"/>
      <c r="AE91" s="149"/>
      <c r="AF91" s="149"/>
      <c r="AG91" s="149"/>
      <c r="AH91" s="149"/>
      <c r="AI91" s="149"/>
      <c r="AJ91" s="149"/>
      <c r="AK91" s="149"/>
      <c r="AL91" s="149"/>
      <c r="AT91" s="149"/>
      <c r="AZ91" s="149"/>
    </row>
    <row r="92" spans="7:52" s="151" customFormat="1" ht="10" x14ac:dyDescent="0.15">
      <c r="G92" s="179"/>
      <c r="I92" s="180"/>
      <c r="J92" s="175"/>
      <c r="K92" s="180"/>
      <c r="L92" s="182"/>
      <c r="M92" s="180"/>
      <c r="N92" s="182"/>
      <c r="O92" s="180"/>
      <c r="P92" s="146"/>
      <c r="R92" s="183"/>
      <c r="S92" s="183"/>
      <c r="Y92" s="139"/>
      <c r="Z92" s="149"/>
      <c r="AA92" s="149"/>
      <c r="AB92" s="149"/>
      <c r="AC92" s="149"/>
      <c r="AD92" s="149"/>
      <c r="AE92" s="149"/>
      <c r="AF92" s="149"/>
      <c r="AG92" s="149"/>
      <c r="AH92" s="149"/>
      <c r="AI92" s="149"/>
      <c r="AJ92" s="149"/>
      <c r="AK92" s="149"/>
      <c r="AL92" s="149"/>
      <c r="AT92" s="149"/>
      <c r="AZ92" s="149"/>
    </row>
    <row r="93" spans="7:52" s="151" customFormat="1" ht="10" x14ac:dyDescent="0.15">
      <c r="G93" s="179"/>
      <c r="I93" s="180"/>
      <c r="J93" s="175"/>
      <c r="K93" s="180"/>
      <c r="L93" s="182"/>
      <c r="M93" s="180"/>
      <c r="N93" s="182"/>
      <c r="O93" s="180"/>
      <c r="P93" s="146"/>
      <c r="R93" s="183"/>
      <c r="S93" s="183"/>
      <c r="Y93" s="139"/>
      <c r="Z93" s="149"/>
      <c r="AA93" s="149"/>
      <c r="AB93" s="149"/>
      <c r="AC93" s="149"/>
      <c r="AD93" s="149"/>
      <c r="AE93" s="149"/>
      <c r="AF93" s="149"/>
      <c r="AG93" s="149"/>
      <c r="AH93" s="149"/>
      <c r="AI93" s="149"/>
      <c r="AJ93" s="149"/>
      <c r="AK93" s="149"/>
      <c r="AL93" s="149"/>
      <c r="AT93" s="149"/>
      <c r="AZ93" s="149"/>
    </row>
    <row r="94" spans="7:52" s="151" customFormat="1" ht="10" x14ac:dyDescent="0.15">
      <c r="G94" s="179"/>
      <c r="I94" s="180"/>
      <c r="J94" s="175"/>
      <c r="K94" s="180"/>
      <c r="L94" s="182"/>
      <c r="M94" s="180"/>
      <c r="N94" s="182"/>
      <c r="O94" s="180"/>
      <c r="P94" s="146"/>
      <c r="R94" s="183"/>
      <c r="S94" s="183"/>
      <c r="Y94" s="139"/>
      <c r="Z94" s="149"/>
      <c r="AA94" s="149"/>
      <c r="AB94" s="149"/>
      <c r="AC94" s="149"/>
      <c r="AD94" s="149"/>
      <c r="AE94" s="149"/>
      <c r="AF94" s="149"/>
      <c r="AG94" s="149"/>
      <c r="AH94" s="149"/>
      <c r="AI94" s="149"/>
      <c r="AJ94" s="149"/>
      <c r="AK94" s="149"/>
      <c r="AL94" s="149"/>
      <c r="AT94" s="149"/>
      <c r="AZ94" s="149"/>
    </row>
    <row r="95" spans="7:52" s="151" customFormat="1" ht="10" x14ac:dyDescent="0.15">
      <c r="G95" s="179"/>
      <c r="I95" s="180"/>
      <c r="J95" s="175"/>
      <c r="K95" s="180"/>
      <c r="L95" s="182"/>
      <c r="M95" s="180"/>
      <c r="N95" s="182"/>
      <c r="O95" s="180"/>
      <c r="P95" s="146"/>
      <c r="R95" s="183"/>
      <c r="S95" s="183"/>
      <c r="Y95" s="139"/>
      <c r="Z95" s="149"/>
      <c r="AA95" s="149"/>
      <c r="AB95" s="149"/>
      <c r="AC95" s="149"/>
      <c r="AD95" s="149"/>
      <c r="AE95" s="149"/>
      <c r="AF95" s="149"/>
      <c r="AG95" s="149"/>
      <c r="AH95" s="149"/>
      <c r="AI95" s="149"/>
      <c r="AJ95" s="149"/>
      <c r="AK95" s="149"/>
      <c r="AL95" s="149"/>
      <c r="AT95" s="149"/>
      <c r="AZ95" s="149"/>
    </row>
    <row r="96" spans="7:52" s="151" customFormat="1" ht="10" x14ac:dyDescent="0.15">
      <c r="G96" s="179"/>
      <c r="I96" s="180"/>
      <c r="J96" s="175"/>
      <c r="K96" s="180"/>
      <c r="L96" s="182"/>
      <c r="M96" s="180"/>
      <c r="N96" s="182"/>
      <c r="O96" s="180"/>
      <c r="P96" s="146"/>
      <c r="R96" s="183"/>
      <c r="S96" s="183"/>
      <c r="Y96" s="139"/>
      <c r="Z96" s="149"/>
      <c r="AA96" s="149"/>
      <c r="AB96" s="149"/>
      <c r="AC96" s="149"/>
      <c r="AD96" s="149"/>
      <c r="AE96" s="149"/>
      <c r="AF96" s="149"/>
      <c r="AG96" s="149"/>
      <c r="AH96" s="149"/>
      <c r="AI96" s="149"/>
      <c r="AJ96" s="149"/>
      <c r="AK96" s="149"/>
      <c r="AL96" s="149"/>
      <c r="AT96" s="149"/>
      <c r="AZ96" s="149"/>
    </row>
    <row r="97" spans="7:52" s="151" customFormat="1" ht="10" x14ac:dyDescent="0.15">
      <c r="G97" s="179"/>
      <c r="I97" s="180"/>
      <c r="J97" s="175"/>
      <c r="K97" s="180"/>
      <c r="L97" s="182"/>
      <c r="M97" s="180"/>
      <c r="N97" s="182"/>
      <c r="O97" s="180"/>
      <c r="P97" s="180"/>
      <c r="R97" s="183"/>
      <c r="S97" s="183"/>
      <c r="Y97" s="139"/>
      <c r="Z97" s="149"/>
      <c r="AA97" s="149"/>
      <c r="AB97" s="149"/>
      <c r="AC97" s="149"/>
      <c r="AD97" s="149"/>
      <c r="AE97" s="149"/>
      <c r="AF97" s="149"/>
      <c r="AG97" s="149"/>
      <c r="AH97" s="149"/>
      <c r="AI97" s="149"/>
      <c r="AJ97" s="149"/>
      <c r="AK97" s="149"/>
      <c r="AL97" s="149"/>
      <c r="AT97" s="149"/>
      <c r="AZ97" s="149"/>
    </row>
    <row r="98" spans="7:52" s="151" customFormat="1" ht="10" x14ac:dyDescent="0.15">
      <c r="G98" s="179"/>
      <c r="I98" s="180"/>
      <c r="J98" s="175"/>
      <c r="K98" s="180"/>
      <c r="L98" s="182"/>
      <c r="M98" s="180"/>
      <c r="N98" s="182"/>
      <c r="O98" s="180"/>
      <c r="P98" s="180"/>
      <c r="R98" s="183"/>
      <c r="S98" s="183"/>
      <c r="Y98" s="139"/>
      <c r="Z98" s="149"/>
      <c r="AA98" s="149"/>
      <c r="AB98" s="149"/>
      <c r="AC98" s="149"/>
      <c r="AD98" s="149"/>
      <c r="AE98" s="149"/>
      <c r="AF98" s="149"/>
      <c r="AG98" s="149"/>
      <c r="AH98" s="149"/>
      <c r="AI98" s="149"/>
      <c r="AJ98" s="149"/>
      <c r="AK98" s="149"/>
      <c r="AL98" s="149"/>
      <c r="AT98" s="149"/>
      <c r="AZ98" s="149"/>
    </row>
    <row r="99" spans="7:52" s="151" customFormat="1" ht="10" x14ac:dyDescent="0.15">
      <c r="G99" s="179"/>
      <c r="I99" s="180"/>
      <c r="J99" s="175"/>
      <c r="K99" s="180"/>
      <c r="L99" s="182"/>
      <c r="M99" s="180"/>
      <c r="N99" s="182"/>
      <c r="O99" s="180"/>
      <c r="P99" s="180"/>
      <c r="R99" s="183"/>
      <c r="S99" s="183"/>
      <c r="Y99" s="139"/>
      <c r="Z99" s="149"/>
      <c r="AA99" s="149"/>
      <c r="AB99" s="149"/>
      <c r="AC99" s="149"/>
      <c r="AD99" s="149"/>
      <c r="AE99" s="149"/>
      <c r="AF99" s="149"/>
      <c r="AG99" s="149"/>
      <c r="AH99" s="149"/>
      <c r="AI99" s="149"/>
      <c r="AJ99" s="149"/>
      <c r="AK99" s="149"/>
      <c r="AL99" s="149"/>
      <c r="AT99" s="149"/>
      <c r="AZ99" s="149"/>
    </row>
    <row r="100" spans="7:52" s="151" customFormat="1" ht="10" x14ac:dyDescent="0.15">
      <c r="G100" s="179"/>
      <c r="I100" s="180"/>
      <c r="J100" s="175"/>
      <c r="K100" s="180"/>
      <c r="L100" s="182"/>
      <c r="M100" s="180"/>
      <c r="N100" s="182"/>
      <c r="O100" s="180"/>
      <c r="P100" s="180"/>
      <c r="R100" s="183"/>
      <c r="S100" s="183"/>
      <c r="Y100" s="139"/>
      <c r="Z100" s="149"/>
      <c r="AA100" s="149"/>
      <c r="AB100" s="149"/>
      <c r="AC100" s="149"/>
      <c r="AD100" s="149"/>
      <c r="AE100" s="149"/>
      <c r="AF100" s="149"/>
      <c r="AG100" s="149"/>
      <c r="AH100" s="149"/>
      <c r="AI100" s="149"/>
      <c r="AJ100" s="149"/>
      <c r="AK100" s="149"/>
      <c r="AL100" s="149"/>
      <c r="AT100" s="149"/>
      <c r="AZ100" s="149"/>
    </row>
    <row r="101" spans="7:52" s="151" customFormat="1" ht="10" x14ac:dyDescent="0.15">
      <c r="G101" s="179"/>
      <c r="I101" s="180"/>
      <c r="J101" s="175"/>
      <c r="K101" s="180"/>
      <c r="L101" s="182"/>
      <c r="M101" s="180"/>
      <c r="N101" s="182"/>
      <c r="O101" s="180"/>
      <c r="P101" s="180"/>
      <c r="R101" s="183"/>
      <c r="S101" s="183"/>
      <c r="Y101" s="139"/>
      <c r="Z101" s="149"/>
      <c r="AA101" s="149"/>
      <c r="AB101" s="149"/>
      <c r="AC101" s="149"/>
      <c r="AD101" s="149"/>
      <c r="AE101" s="149"/>
      <c r="AF101" s="149"/>
      <c r="AG101" s="149"/>
      <c r="AH101" s="149"/>
      <c r="AI101" s="149"/>
      <c r="AJ101" s="149"/>
      <c r="AK101" s="149"/>
      <c r="AL101" s="149"/>
      <c r="AT101" s="149"/>
      <c r="AZ101" s="149"/>
    </row>
    <row r="102" spans="7:52" s="151" customFormat="1" ht="10" x14ac:dyDescent="0.15">
      <c r="G102" s="179"/>
      <c r="I102" s="180"/>
      <c r="J102" s="175"/>
      <c r="K102" s="180"/>
      <c r="L102" s="182"/>
      <c r="M102" s="180"/>
      <c r="N102" s="182"/>
      <c r="O102" s="180"/>
      <c r="P102" s="180"/>
      <c r="R102" s="183"/>
      <c r="S102" s="183"/>
      <c r="Y102" s="139"/>
      <c r="Z102" s="149"/>
      <c r="AA102" s="149"/>
      <c r="AB102" s="149"/>
      <c r="AC102" s="149"/>
      <c r="AD102" s="149"/>
      <c r="AE102" s="149"/>
      <c r="AF102" s="149"/>
      <c r="AG102" s="149"/>
      <c r="AH102" s="149"/>
      <c r="AI102" s="149"/>
      <c r="AJ102" s="149"/>
      <c r="AK102" s="149"/>
      <c r="AL102" s="149"/>
      <c r="AT102" s="149"/>
      <c r="AZ102" s="149"/>
    </row>
    <row r="103" spans="7:52" s="151" customFormat="1" ht="10" x14ac:dyDescent="0.15">
      <c r="G103" s="179"/>
      <c r="I103" s="180"/>
      <c r="J103" s="175"/>
      <c r="K103" s="180"/>
      <c r="L103" s="182"/>
      <c r="M103" s="180"/>
      <c r="N103" s="182"/>
      <c r="O103" s="180"/>
      <c r="P103" s="180"/>
      <c r="R103" s="183"/>
      <c r="S103" s="183"/>
      <c r="Y103" s="139"/>
      <c r="Z103" s="149"/>
      <c r="AA103" s="149"/>
      <c r="AB103" s="149"/>
      <c r="AC103" s="149"/>
      <c r="AD103" s="149"/>
      <c r="AE103" s="149"/>
      <c r="AF103" s="149"/>
      <c r="AG103" s="149"/>
      <c r="AH103" s="149"/>
      <c r="AI103" s="149"/>
      <c r="AJ103" s="149"/>
      <c r="AK103" s="149"/>
      <c r="AL103" s="149"/>
      <c r="AT103" s="149"/>
      <c r="AZ103" s="149"/>
    </row>
    <row r="104" spans="7:52" s="151" customFormat="1" ht="10" x14ac:dyDescent="0.15">
      <c r="G104" s="179"/>
      <c r="I104" s="180"/>
      <c r="J104" s="175"/>
      <c r="K104" s="180"/>
      <c r="L104" s="182"/>
      <c r="M104" s="180"/>
      <c r="N104" s="182"/>
      <c r="O104" s="180"/>
      <c r="P104" s="180"/>
      <c r="R104" s="183"/>
      <c r="S104" s="150"/>
      <c r="Y104" s="139"/>
      <c r="Z104" s="149"/>
      <c r="AA104" s="149"/>
      <c r="AB104" s="149"/>
      <c r="AC104" s="149"/>
      <c r="AD104" s="149"/>
      <c r="AE104" s="149"/>
      <c r="AF104" s="149"/>
      <c r="AG104" s="149"/>
      <c r="AH104" s="149"/>
      <c r="AI104" s="149"/>
      <c r="AJ104" s="149"/>
      <c r="AK104" s="149"/>
      <c r="AL104" s="149"/>
      <c r="AT104" s="149"/>
      <c r="AZ104" s="149"/>
    </row>
    <row r="105" spans="7:52" s="151" customFormat="1" ht="10" x14ac:dyDescent="0.15">
      <c r="G105" s="179"/>
      <c r="I105" s="180"/>
      <c r="J105" s="175"/>
      <c r="K105" s="180"/>
      <c r="L105" s="182"/>
      <c r="M105" s="180"/>
      <c r="N105" s="182"/>
      <c r="O105" s="180"/>
      <c r="P105" s="180"/>
      <c r="R105" s="183"/>
      <c r="S105" s="150"/>
      <c r="Y105" s="139"/>
      <c r="Z105" s="149"/>
      <c r="AA105" s="149"/>
      <c r="AB105" s="149"/>
      <c r="AC105" s="149"/>
      <c r="AD105" s="149"/>
      <c r="AE105" s="149"/>
      <c r="AF105" s="149"/>
      <c r="AG105" s="149"/>
      <c r="AH105" s="149"/>
      <c r="AI105" s="149"/>
      <c r="AJ105" s="149"/>
      <c r="AK105" s="149"/>
      <c r="AL105" s="149"/>
      <c r="AT105" s="149"/>
      <c r="AZ105" s="149"/>
    </row>
    <row r="106" spans="7:52" s="151" customFormat="1" ht="10" x14ac:dyDescent="0.15">
      <c r="G106" s="179"/>
      <c r="I106" s="180"/>
      <c r="J106" s="175"/>
      <c r="K106" s="180"/>
      <c r="L106" s="182"/>
      <c r="M106" s="180"/>
      <c r="N106" s="182"/>
      <c r="O106" s="180"/>
      <c r="P106" s="180"/>
      <c r="R106" s="183"/>
      <c r="S106" s="150"/>
      <c r="Y106" s="139"/>
      <c r="Z106" s="149"/>
      <c r="AA106" s="149"/>
      <c r="AB106" s="149"/>
      <c r="AC106" s="149"/>
      <c r="AD106" s="149"/>
      <c r="AE106" s="149"/>
      <c r="AF106" s="149"/>
      <c r="AG106" s="149"/>
      <c r="AH106" s="149"/>
      <c r="AI106" s="149"/>
      <c r="AJ106" s="149"/>
      <c r="AK106" s="149"/>
      <c r="AL106" s="149"/>
      <c r="AT106" s="149"/>
      <c r="AZ106" s="149"/>
    </row>
    <row r="107" spans="7:52" s="151" customFormat="1" ht="10" x14ac:dyDescent="0.15">
      <c r="G107" s="179"/>
      <c r="I107" s="180"/>
      <c r="J107" s="175"/>
      <c r="K107" s="180"/>
      <c r="L107" s="182"/>
      <c r="M107" s="180"/>
      <c r="N107" s="182"/>
      <c r="O107" s="180"/>
      <c r="P107" s="180"/>
      <c r="R107" s="183"/>
      <c r="S107" s="150"/>
      <c r="Y107" s="139"/>
      <c r="Z107" s="149"/>
      <c r="AA107" s="149"/>
      <c r="AB107" s="149"/>
      <c r="AC107" s="149"/>
      <c r="AD107" s="149"/>
      <c r="AE107" s="149"/>
      <c r="AF107" s="149"/>
      <c r="AG107" s="149"/>
      <c r="AH107" s="149"/>
      <c r="AI107" s="149"/>
      <c r="AJ107" s="149"/>
      <c r="AK107" s="149"/>
      <c r="AL107" s="149"/>
      <c r="AT107" s="149"/>
      <c r="AZ107" s="149"/>
    </row>
    <row r="108" spans="7:52" s="151" customFormat="1" ht="10" x14ac:dyDescent="0.15">
      <c r="G108" s="179"/>
      <c r="I108" s="180"/>
      <c r="J108" s="175"/>
      <c r="K108" s="180"/>
      <c r="L108" s="182"/>
      <c r="M108" s="180"/>
      <c r="N108" s="182"/>
      <c r="O108" s="180"/>
      <c r="P108" s="180"/>
      <c r="R108" s="183"/>
      <c r="S108" s="150"/>
      <c r="Y108" s="139"/>
      <c r="Z108" s="149"/>
      <c r="AA108" s="149"/>
      <c r="AB108" s="149"/>
      <c r="AC108" s="149"/>
      <c r="AD108" s="149"/>
      <c r="AE108" s="149"/>
      <c r="AF108" s="149"/>
      <c r="AG108" s="149"/>
      <c r="AH108" s="149"/>
      <c r="AI108" s="149"/>
      <c r="AJ108" s="149"/>
      <c r="AK108" s="149"/>
      <c r="AL108" s="149"/>
      <c r="AT108" s="149"/>
      <c r="AZ108" s="149"/>
    </row>
    <row r="109" spans="7:52" s="151" customFormat="1" ht="10" x14ac:dyDescent="0.15">
      <c r="G109" s="179"/>
      <c r="I109" s="180"/>
      <c r="J109" s="175"/>
      <c r="K109" s="180"/>
      <c r="L109" s="182"/>
      <c r="M109" s="180"/>
      <c r="N109" s="182"/>
      <c r="O109" s="180"/>
      <c r="P109" s="180"/>
      <c r="R109" s="183"/>
      <c r="S109" s="150"/>
      <c r="Y109" s="139"/>
      <c r="Z109" s="149"/>
      <c r="AA109" s="149"/>
      <c r="AB109" s="149"/>
      <c r="AC109" s="149"/>
      <c r="AD109" s="149"/>
      <c r="AE109" s="149"/>
      <c r="AF109" s="149"/>
      <c r="AG109" s="149"/>
      <c r="AH109" s="149"/>
      <c r="AI109" s="149"/>
      <c r="AJ109" s="149"/>
      <c r="AK109" s="149"/>
      <c r="AL109" s="149"/>
      <c r="AT109" s="149"/>
      <c r="AZ109" s="149"/>
    </row>
    <row r="110" spans="7:52" s="151" customFormat="1" ht="10" x14ac:dyDescent="0.15">
      <c r="G110" s="179"/>
      <c r="I110" s="180"/>
      <c r="J110" s="175"/>
      <c r="K110" s="180"/>
      <c r="L110" s="182"/>
      <c r="M110" s="180"/>
      <c r="N110" s="182"/>
      <c r="O110" s="180"/>
      <c r="P110" s="180"/>
      <c r="R110" s="183"/>
      <c r="S110" s="150"/>
      <c r="Y110" s="139"/>
      <c r="Z110" s="149"/>
      <c r="AA110" s="149"/>
      <c r="AB110" s="149"/>
      <c r="AC110" s="149"/>
      <c r="AD110" s="149"/>
      <c r="AE110" s="149"/>
      <c r="AF110" s="149"/>
      <c r="AG110" s="149"/>
      <c r="AH110" s="149"/>
      <c r="AI110" s="149"/>
      <c r="AJ110" s="149"/>
      <c r="AK110" s="149"/>
      <c r="AL110" s="149"/>
      <c r="AT110" s="149"/>
      <c r="AZ110" s="149"/>
    </row>
    <row r="111" spans="7:52" s="151" customFormat="1" ht="10" x14ac:dyDescent="0.15">
      <c r="G111" s="179"/>
      <c r="I111" s="180"/>
      <c r="J111" s="175"/>
      <c r="K111" s="180"/>
      <c r="L111" s="182"/>
      <c r="M111" s="180"/>
      <c r="N111" s="182"/>
      <c r="O111" s="180"/>
      <c r="P111" s="180"/>
      <c r="R111" s="150"/>
      <c r="S111" s="150"/>
      <c r="U111" s="150"/>
      <c r="X111" s="150"/>
      <c r="Z111" s="149"/>
      <c r="AA111" s="149"/>
      <c r="AB111" s="149"/>
      <c r="AC111" s="149"/>
      <c r="AD111" s="149"/>
      <c r="AE111" s="149"/>
      <c r="AF111" s="149"/>
      <c r="AG111" s="149"/>
      <c r="AH111" s="149"/>
      <c r="AI111" s="149"/>
      <c r="AJ111" s="149"/>
      <c r="AK111" s="149"/>
      <c r="AL111" s="149"/>
      <c r="AT111" s="149"/>
      <c r="AZ111" s="149"/>
    </row>
    <row r="112" spans="7:52" s="151" customFormat="1" ht="10" x14ac:dyDescent="0.15">
      <c r="G112" s="179"/>
      <c r="I112" s="180"/>
      <c r="J112" s="175"/>
      <c r="K112" s="180"/>
      <c r="L112" s="182"/>
      <c r="M112" s="180"/>
      <c r="N112" s="182"/>
      <c r="O112" s="180"/>
      <c r="P112" s="180"/>
      <c r="R112" s="150"/>
      <c r="S112" s="150"/>
      <c r="U112" s="150"/>
      <c r="X112" s="150"/>
      <c r="Z112" s="149"/>
      <c r="AA112" s="149"/>
      <c r="AB112" s="149"/>
      <c r="AC112" s="149"/>
      <c r="AD112" s="149"/>
      <c r="AE112" s="149"/>
      <c r="AF112" s="149"/>
      <c r="AG112" s="149"/>
      <c r="AH112" s="149"/>
      <c r="AI112" s="149"/>
      <c r="AJ112" s="149"/>
      <c r="AK112" s="149"/>
      <c r="AL112" s="149"/>
      <c r="AT112" s="149"/>
      <c r="AZ112" s="149"/>
    </row>
    <row r="113" spans="2:55" s="151" customFormat="1" ht="10" x14ac:dyDescent="0.15">
      <c r="G113" s="179"/>
      <c r="I113" s="180"/>
      <c r="J113" s="175"/>
      <c r="K113" s="180"/>
      <c r="L113" s="182"/>
      <c r="M113" s="180"/>
      <c r="N113" s="182"/>
      <c r="O113" s="180"/>
      <c r="P113" s="180"/>
      <c r="R113" s="150"/>
      <c r="S113" s="150"/>
      <c r="U113" s="150"/>
      <c r="X113" s="150"/>
      <c r="Z113" s="149"/>
      <c r="AA113" s="149"/>
      <c r="AB113" s="149"/>
      <c r="AC113" s="149"/>
      <c r="AD113" s="149"/>
      <c r="AE113" s="149"/>
      <c r="AF113" s="149"/>
      <c r="AG113" s="149"/>
      <c r="AH113" s="149"/>
      <c r="AI113" s="149"/>
      <c r="AJ113" s="149"/>
      <c r="AK113" s="149"/>
      <c r="AL113" s="149"/>
      <c r="AT113" s="149"/>
      <c r="AZ113" s="149"/>
    </row>
    <row r="114" spans="2:55" s="151" customFormat="1" ht="10" x14ac:dyDescent="0.15">
      <c r="G114" s="179"/>
      <c r="I114" s="180"/>
      <c r="J114" s="175"/>
      <c r="K114" s="180"/>
      <c r="L114" s="182"/>
      <c r="M114" s="180"/>
      <c r="N114" s="182"/>
      <c r="O114" s="180"/>
      <c r="P114" s="180"/>
      <c r="R114" s="150"/>
      <c r="S114" s="150"/>
      <c r="U114" s="150"/>
      <c r="X114" s="150"/>
      <c r="Z114" s="149"/>
      <c r="AA114" s="149"/>
      <c r="AB114" s="149"/>
      <c r="AC114" s="149"/>
      <c r="AD114" s="149"/>
      <c r="AE114" s="149"/>
      <c r="AF114" s="149"/>
      <c r="AG114" s="149"/>
      <c r="AH114" s="149"/>
      <c r="AI114" s="149"/>
      <c r="AJ114" s="149"/>
      <c r="AK114" s="149"/>
      <c r="AL114" s="149"/>
      <c r="AT114" s="149"/>
      <c r="AZ114" s="149"/>
    </row>
    <row r="115" spans="2:55" s="151" customFormat="1" ht="10" x14ac:dyDescent="0.15">
      <c r="G115" s="179"/>
      <c r="I115" s="180"/>
      <c r="J115" s="175"/>
      <c r="K115" s="180"/>
      <c r="L115" s="182"/>
      <c r="M115" s="180"/>
      <c r="N115" s="182"/>
      <c r="O115" s="180"/>
      <c r="P115" s="180"/>
      <c r="R115" s="150"/>
      <c r="S115" s="150"/>
      <c r="U115" s="150"/>
      <c r="X115" s="150"/>
      <c r="Z115" s="149"/>
      <c r="AA115" s="149"/>
      <c r="AB115" s="149"/>
      <c r="AC115" s="149"/>
      <c r="AD115" s="149"/>
      <c r="AE115" s="149"/>
      <c r="AF115" s="149"/>
      <c r="AG115" s="149"/>
      <c r="AH115" s="149"/>
      <c r="AI115" s="149"/>
      <c r="AJ115" s="149"/>
      <c r="AK115" s="149"/>
      <c r="AL115" s="149"/>
      <c r="AT115" s="149"/>
      <c r="AZ115" s="149"/>
    </row>
    <row r="116" spans="2:55" s="151" customFormat="1" ht="10" x14ac:dyDescent="0.15">
      <c r="G116" s="179"/>
      <c r="I116" s="180"/>
      <c r="J116" s="175"/>
      <c r="K116" s="180"/>
      <c r="L116" s="182"/>
      <c r="M116" s="180"/>
      <c r="N116" s="182"/>
      <c r="O116" s="180"/>
      <c r="P116" s="180"/>
      <c r="R116" s="150"/>
      <c r="S116" s="150"/>
      <c r="U116" s="150"/>
      <c r="X116" s="150"/>
      <c r="Z116" s="149"/>
      <c r="AA116" s="149"/>
      <c r="AB116" s="149"/>
      <c r="AC116" s="149"/>
      <c r="AD116" s="149"/>
      <c r="AE116" s="149"/>
      <c r="AF116" s="149"/>
      <c r="AG116" s="149"/>
      <c r="AH116" s="149"/>
      <c r="AI116" s="149"/>
      <c r="AJ116" s="149"/>
      <c r="AK116" s="149"/>
      <c r="AL116" s="149"/>
      <c r="AT116" s="149"/>
      <c r="AZ116" s="149"/>
    </row>
    <row r="117" spans="2:55" s="151" customFormat="1" ht="10" x14ac:dyDescent="0.15">
      <c r="G117" s="179"/>
      <c r="I117" s="180"/>
      <c r="J117" s="175"/>
      <c r="K117" s="180"/>
      <c r="L117" s="182"/>
      <c r="M117" s="180"/>
      <c r="N117" s="182"/>
      <c r="O117" s="180"/>
      <c r="P117" s="180"/>
      <c r="R117" s="150"/>
      <c r="S117" s="150"/>
      <c r="U117" s="150"/>
      <c r="X117" s="150"/>
      <c r="Z117" s="149"/>
      <c r="AA117" s="149"/>
      <c r="AB117" s="149"/>
      <c r="AC117" s="149"/>
      <c r="AD117" s="149"/>
      <c r="AE117" s="149"/>
      <c r="AF117" s="149"/>
      <c r="AG117" s="149"/>
      <c r="AH117" s="149"/>
      <c r="AI117" s="149"/>
      <c r="AJ117" s="149"/>
      <c r="AK117" s="149"/>
      <c r="AL117" s="149"/>
      <c r="AT117" s="149"/>
      <c r="AZ117" s="149"/>
    </row>
    <row r="118" spans="2:55" s="151" customFormat="1" ht="10" x14ac:dyDescent="0.15">
      <c r="G118" s="179"/>
      <c r="I118" s="180"/>
      <c r="J118" s="175"/>
      <c r="K118" s="180"/>
      <c r="L118" s="182"/>
      <c r="M118" s="180"/>
      <c r="N118" s="182"/>
      <c r="O118" s="180"/>
      <c r="P118" s="180"/>
      <c r="R118" s="150"/>
      <c r="S118" s="150"/>
      <c r="U118" s="139"/>
      <c r="X118" s="150"/>
      <c r="Z118" s="149"/>
      <c r="AA118" s="149"/>
      <c r="AB118" s="149"/>
      <c r="AC118" s="149"/>
      <c r="AD118" s="149"/>
      <c r="AE118" s="149"/>
      <c r="AF118" s="149"/>
      <c r="AG118" s="149"/>
      <c r="AH118" s="149"/>
      <c r="AI118" s="149"/>
      <c r="AJ118" s="149"/>
      <c r="AK118" s="149"/>
      <c r="AL118" s="149"/>
      <c r="AT118" s="149"/>
      <c r="AZ118" s="149"/>
    </row>
    <row r="119" spans="2:55" s="151" customFormat="1" ht="10" x14ac:dyDescent="0.15">
      <c r="G119" s="179"/>
      <c r="I119" s="180"/>
      <c r="J119" s="175"/>
      <c r="K119" s="180"/>
      <c r="L119" s="182"/>
      <c r="M119" s="180"/>
      <c r="N119" s="182"/>
      <c r="O119" s="180"/>
      <c r="P119" s="180"/>
      <c r="R119" s="150"/>
      <c r="S119" s="150"/>
      <c r="U119" s="139"/>
      <c r="X119" s="150"/>
      <c r="Z119" s="149"/>
      <c r="AA119" s="149"/>
      <c r="AB119" s="149"/>
      <c r="AC119" s="149"/>
      <c r="AD119" s="149"/>
      <c r="AE119" s="149"/>
      <c r="AF119" s="149"/>
      <c r="AG119" s="149"/>
      <c r="AH119" s="149"/>
      <c r="AI119" s="149"/>
      <c r="AJ119" s="149"/>
      <c r="AK119" s="149"/>
      <c r="AL119" s="149"/>
      <c r="AT119" s="149"/>
      <c r="AZ119" s="149"/>
    </row>
    <row r="120" spans="2:55" s="151" customFormat="1" ht="10" x14ac:dyDescent="0.15">
      <c r="G120" s="179"/>
      <c r="I120" s="180"/>
      <c r="J120" s="175"/>
      <c r="K120" s="180"/>
      <c r="L120" s="182"/>
      <c r="M120" s="180"/>
      <c r="N120" s="182"/>
      <c r="O120" s="180"/>
      <c r="P120" s="180"/>
      <c r="R120" s="150"/>
      <c r="S120" s="150"/>
      <c r="U120" s="139"/>
      <c r="X120" s="150"/>
      <c r="Z120" s="149"/>
      <c r="AA120" s="149"/>
      <c r="AB120" s="149"/>
      <c r="AC120" s="149"/>
      <c r="AD120" s="149"/>
      <c r="AE120" s="149"/>
      <c r="AF120" s="149"/>
      <c r="AG120" s="149"/>
      <c r="AH120" s="149"/>
      <c r="AI120" s="149"/>
      <c r="AJ120" s="149"/>
      <c r="AK120" s="149"/>
      <c r="AL120" s="149"/>
      <c r="AT120" s="149"/>
      <c r="AZ120" s="149"/>
    </row>
    <row r="121" spans="2:55" s="151" customFormat="1" ht="10" x14ac:dyDescent="0.15">
      <c r="G121" s="179"/>
      <c r="I121" s="180"/>
      <c r="J121" s="175"/>
      <c r="K121" s="180"/>
      <c r="L121" s="182"/>
      <c r="M121" s="180"/>
      <c r="N121" s="182"/>
      <c r="O121" s="180"/>
      <c r="P121" s="180"/>
      <c r="R121" s="150"/>
      <c r="S121" s="150"/>
      <c r="U121" s="139"/>
      <c r="X121" s="150"/>
      <c r="Z121" s="149"/>
      <c r="AA121" s="149"/>
      <c r="AB121" s="149"/>
      <c r="AC121" s="149"/>
      <c r="AD121" s="149"/>
      <c r="AE121" s="149"/>
      <c r="AF121" s="149"/>
      <c r="AG121" s="149"/>
      <c r="AH121" s="149"/>
      <c r="AI121" s="149"/>
      <c r="AJ121" s="149"/>
      <c r="AK121" s="149"/>
      <c r="AL121" s="149"/>
      <c r="AT121" s="149"/>
      <c r="AZ121" s="149"/>
    </row>
    <row r="122" spans="2:55" s="151" customFormat="1" ht="10" x14ac:dyDescent="0.15">
      <c r="G122" s="179"/>
      <c r="I122" s="180"/>
      <c r="J122" s="175"/>
      <c r="K122" s="180"/>
      <c r="L122" s="182"/>
      <c r="M122" s="180"/>
      <c r="N122" s="182"/>
      <c r="O122" s="180"/>
      <c r="P122" s="180"/>
      <c r="R122" s="150"/>
      <c r="S122" s="150"/>
      <c r="U122" s="139"/>
      <c r="X122" s="150"/>
      <c r="Z122" s="149"/>
      <c r="AA122" s="149"/>
      <c r="AB122" s="149"/>
      <c r="AC122" s="149"/>
      <c r="AD122" s="149"/>
      <c r="AE122" s="149"/>
      <c r="AF122" s="149"/>
      <c r="AG122" s="149"/>
      <c r="AH122" s="149"/>
      <c r="AI122" s="149"/>
      <c r="AJ122" s="149"/>
      <c r="AK122" s="149"/>
      <c r="AL122" s="149"/>
      <c r="AT122" s="149"/>
      <c r="AZ122" s="149"/>
    </row>
    <row r="123" spans="2:55" s="151" customFormat="1" ht="10" x14ac:dyDescent="0.15">
      <c r="G123" s="179"/>
      <c r="I123" s="180"/>
      <c r="J123" s="175"/>
      <c r="K123" s="180"/>
      <c r="L123" s="182"/>
      <c r="M123" s="180"/>
      <c r="N123" s="182"/>
      <c r="O123" s="180"/>
      <c r="P123" s="180"/>
      <c r="R123" s="150"/>
      <c r="S123" s="150"/>
      <c r="U123" s="139"/>
      <c r="X123" s="150"/>
      <c r="Z123" s="149"/>
      <c r="AA123" s="149"/>
      <c r="AB123" s="149"/>
      <c r="AC123" s="149"/>
      <c r="AD123" s="149"/>
      <c r="AE123" s="149"/>
      <c r="AF123" s="149"/>
      <c r="AG123" s="149"/>
      <c r="AH123" s="149"/>
      <c r="AI123" s="149"/>
      <c r="AJ123" s="149"/>
      <c r="AK123" s="149"/>
      <c r="AL123" s="149"/>
      <c r="AT123" s="149"/>
      <c r="AZ123" s="149"/>
    </row>
    <row r="124" spans="2:55" s="151" customFormat="1" ht="10" x14ac:dyDescent="0.15">
      <c r="G124" s="179"/>
      <c r="I124" s="180"/>
      <c r="J124" s="175"/>
      <c r="K124" s="180"/>
      <c r="L124" s="182"/>
      <c r="M124" s="180"/>
      <c r="N124" s="182"/>
      <c r="O124" s="180"/>
      <c r="P124" s="180"/>
      <c r="R124" s="150"/>
      <c r="S124" s="150"/>
      <c r="U124" s="139"/>
      <c r="X124" s="150"/>
      <c r="Z124" s="149"/>
      <c r="AA124" s="149"/>
      <c r="AB124" s="149"/>
      <c r="AC124" s="149"/>
      <c r="AD124" s="149"/>
      <c r="AE124" s="149"/>
      <c r="AF124" s="149"/>
      <c r="AG124" s="149"/>
      <c r="AH124" s="149"/>
      <c r="AI124" s="149"/>
      <c r="AJ124" s="149"/>
      <c r="AK124" s="149"/>
      <c r="AL124" s="149"/>
      <c r="AT124" s="149"/>
      <c r="AZ124" s="149"/>
    </row>
    <row r="125" spans="2:55" s="151" customFormat="1" ht="10" x14ac:dyDescent="0.15">
      <c r="B125" s="139"/>
      <c r="C125" s="139"/>
      <c r="D125" s="139"/>
      <c r="G125" s="145"/>
      <c r="I125" s="146"/>
      <c r="J125" s="175"/>
      <c r="K125" s="146"/>
      <c r="L125" s="148"/>
      <c r="M125" s="146"/>
      <c r="N125" s="148"/>
      <c r="O125" s="146"/>
      <c r="P125" s="146"/>
      <c r="Q125" s="139"/>
      <c r="R125" s="150"/>
      <c r="S125" s="150"/>
      <c r="T125" s="139"/>
      <c r="U125" s="139"/>
      <c r="V125" s="139"/>
      <c r="W125" s="150"/>
      <c r="X125" s="150"/>
      <c r="Z125" s="149"/>
      <c r="AA125" s="149"/>
      <c r="AB125" s="149"/>
      <c r="AC125" s="149"/>
      <c r="AD125" s="149"/>
      <c r="AE125" s="149"/>
      <c r="AF125" s="149"/>
      <c r="AG125" s="149"/>
      <c r="AH125" s="149"/>
      <c r="AI125" s="149"/>
      <c r="AJ125" s="149"/>
      <c r="AK125" s="149"/>
      <c r="AL125" s="149"/>
      <c r="AT125" s="149"/>
      <c r="AZ125" s="149"/>
      <c r="BC125" s="139"/>
    </row>
    <row r="126" spans="2:55" s="151" customFormat="1" ht="10" x14ac:dyDescent="0.15">
      <c r="B126" s="139"/>
      <c r="C126" s="139"/>
      <c r="D126" s="139"/>
      <c r="G126" s="145"/>
      <c r="I126" s="146"/>
      <c r="J126" s="175"/>
      <c r="K126" s="146"/>
      <c r="L126" s="148"/>
      <c r="M126" s="146"/>
      <c r="N126" s="148"/>
      <c r="O126" s="146"/>
      <c r="P126" s="146"/>
      <c r="Q126" s="139"/>
      <c r="R126" s="150"/>
      <c r="S126" s="150"/>
      <c r="T126" s="139"/>
      <c r="U126" s="139"/>
      <c r="V126" s="139"/>
      <c r="W126" s="150"/>
      <c r="X126" s="150"/>
      <c r="Z126" s="149"/>
      <c r="AA126" s="149"/>
      <c r="AB126" s="149"/>
      <c r="AC126" s="149"/>
      <c r="AD126" s="149"/>
      <c r="AE126" s="149"/>
      <c r="AF126" s="149"/>
      <c r="AG126" s="149"/>
      <c r="AH126" s="149"/>
      <c r="AI126" s="149"/>
      <c r="AJ126" s="149"/>
      <c r="AK126" s="149"/>
      <c r="AL126" s="149"/>
      <c r="AT126" s="149"/>
      <c r="AZ126" s="149"/>
      <c r="BC126" s="139"/>
    </row>
    <row r="127" spans="2:55" s="151" customFormat="1" ht="10" x14ac:dyDescent="0.15">
      <c r="B127" s="139"/>
      <c r="C127" s="139"/>
      <c r="D127" s="139"/>
      <c r="G127" s="145"/>
      <c r="I127" s="146"/>
      <c r="J127" s="175"/>
      <c r="K127" s="146"/>
      <c r="L127" s="148"/>
      <c r="M127" s="146"/>
      <c r="N127" s="148"/>
      <c r="O127" s="146"/>
      <c r="P127" s="146"/>
      <c r="Q127" s="139"/>
      <c r="R127" s="150"/>
      <c r="S127" s="150"/>
      <c r="T127" s="139"/>
      <c r="U127" s="139"/>
      <c r="V127" s="139"/>
      <c r="W127" s="150"/>
      <c r="X127" s="150"/>
      <c r="Z127" s="149"/>
      <c r="AA127" s="149"/>
      <c r="AB127" s="149"/>
      <c r="AC127" s="149"/>
      <c r="AD127" s="149"/>
      <c r="AE127" s="149"/>
      <c r="AF127" s="149"/>
      <c r="AG127" s="149"/>
      <c r="AH127" s="149"/>
      <c r="AI127" s="149"/>
      <c r="AJ127" s="149"/>
      <c r="AK127" s="149"/>
      <c r="AL127" s="149"/>
      <c r="AT127" s="149"/>
      <c r="AZ127" s="149"/>
      <c r="BC127" s="139"/>
    </row>
    <row r="128" spans="2:55" s="151" customFormat="1" ht="10" x14ac:dyDescent="0.15">
      <c r="B128" s="139"/>
      <c r="C128" s="139"/>
      <c r="D128" s="139"/>
      <c r="G128" s="145"/>
      <c r="I128" s="146"/>
      <c r="J128" s="175"/>
      <c r="K128" s="146"/>
      <c r="L128" s="148"/>
      <c r="M128" s="146"/>
      <c r="N128" s="148"/>
      <c r="O128" s="146"/>
      <c r="P128" s="146"/>
      <c r="Q128" s="139"/>
      <c r="R128" s="150"/>
      <c r="S128" s="150"/>
      <c r="T128" s="139"/>
      <c r="U128" s="139"/>
      <c r="V128" s="139"/>
      <c r="W128" s="150"/>
      <c r="X128" s="150"/>
      <c r="Z128" s="149"/>
      <c r="AA128" s="149"/>
      <c r="AB128" s="149"/>
      <c r="AC128" s="149"/>
      <c r="AD128" s="149"/>
      <c r="AE128" s="149"/>
      <c r="AF128" s="149"/>
      <c r="AG128" s="149"/>
      <c r="AH128" s="149"/>
      <c r="AI128" s="149"/>
      <c r="AJ128" s="149"/>
      <c r="AK128" s="149"/>
      <c r="AL128" s="149"/>
      <c r="AT128" s="149"/>
      <c r="AZ128" s="149"/>
      <c r="BC128" s="139"/>
    </row>
    <row r="129" spans="2:55" s="151" customFormat="1" ht="10" x14ac:dyDescent="0.15">
      <c r="B129" s="139"/>
      <c r="C129" s="139"/>
      <c r="D129" s="139"/>
      <c r="G129" s="145"/>
      <c r="I129" s="146"/>
      <c r="J129" s="175"/>
      <c r="K129" s="146"/>
      <c r="L129" s="148"/>
      <c r="M129" s="146"/>
      <c r="N129" s="148"/>
      <c r="O129" s="146"/>
      <c r="P129" s="146"/>
      <c r="Q129" s="139"/>
      <c r="R129" s="150"/>
      <c r="S129" s="150"/>
      <c r="T129" s="139"/>
      <c r="U129" s="139"/>
      <c r="V129" s="139"/>
      <c r="W129" s="150"/>
      <c r="X129" s="150"/>
      <c r="Z129" s="149"/>
      <c r="AA129" s="149"/>
      <c r="AB129" s="149"/>
      <c r="AC129" s="149"/>
      <c r="AD129" s="149"/>
      <c r="AE129" s="149"/>
      <c r="AF129" s="149"/>
      <c r="AG129" s="149"/>
      <c r="AH129" s="149"/>
      <c r="AI129" s="149"/>
      <c r="AJ129" s="149"/>
      <c r="AK129" s="149"/>
      <c r="AL129" s="149"/>
      <c r="AT129" s="149"/>
      <c r="AZ129" s="149"/>
      <c r="BC129" s="139"/>
    </row>
    <row r="130" spans="2:55" s="151" customFormat="1" ht="10" x14ac:dyDescent="0.15">
      <c r="B130" s="139"/>
      <c r="C130" s="139"/>
      <c r="D130" s="139"/>
      <c r="G130" s="145"/>
      <c r="I130" s="146"/>
      <c r="J130" s="175"/>
      <c r="K130" s="146"/>
      <c r="L130" s="148"/>
      <c r="M130" s="146"/>
      <c r="N130" s="148"/>
      <c r="O130" s="146"/>
      <c r="P130" s="146"/>
      <c r="Q130" s="139"/>
      <c r="R130" s="150"/>
      <c r="S130" s="150"/>
      <c r="T130" s="139"/>
      <c r="U130" s="139"/>
      <c r="V130" s="139"/>
      <c r="W130" s="150"/>
      <c r="X130" s="150"/>
      <c r="Z130" s="149"/>
      <c r="AA130" s="149"/>
      <c r="AB130" s="149"/>
      <c r="AC130" s="149"/>
      <c r="AD130" s="149"/>
      <c r="AE130" s="149"/>
      <c r="AF130" s="149"/>
      <c r="AG130" s="149"/>
      <c r="AH130" s="149"/>
      <c r="AI130" s="149"/>
      <c r="AJ130" s="149"/>
      <c r="AK130" s="149"/>
      <c r="AL130" s="149"/>
      <c r="AT130" s="149"/>
      <c r="AZ130" s="149"/>
      <c r="BC130" s="139"/>
    </row>
    <row r="131" spans="2:55" s="151" customFormat="1" ht="10" x14ac:dyDescent="0.15">
      <c r="B131" s="139"/>
      <c r="C131" s="139"/>
      <c r="D131" s="139"/>
      <c r="G131" s="145"/>
      <c r="I131" s="146"/>
      <c r="J131" s="175"/>
      <c r="K131" s="146"/>
      <c r="L131" s="148"/>
      <c r="M131" s="146"/>
      <c r="N131" s="148"/>
      <c r="O131" s="146"/>
      <c r="P131" s="146"/>
      <c r="Q131" s="139"/>
      <c r="R131" s="150"/>
      <c r="S131" s="150"/>
      <c r="T131" s="139"/>
      <c r="U131" s="139"/>
      <c r="V131" s="139"/>
      <c r="W131" s="150"/>
      <c r="X131" s="150"/>
      <c r="Z131" s="149"/>
      <c r="AA131" s="149"/>
      <c r="AB131" s="149"/>
      <c r="AC131" s="149"/>
      <c r="AD131" s="149"/>
      <c r="AE131" s="149"/>
      <c r="AF131" s="149"/>
      <c r="AG131" s="149"/>
      <c r="AH131" s="149"/>
      <c r="AI131" s="149"/>
      <c r="AJ131" s="149"/>
      <c r="AK131" s="149"/>
      <c r="AL131" s="149"/>
      <c r="AT131" s="149"/>
      <c r="AZ131" s="149"/>
      <c r="BC131" s="139"/>
    </row>
    <row r="132" spans="2:55" s="151" customFormat="1" ht="10" x14ac:dyDescent="0.15">
      <c r="B132" s="139"/>
      <c r="C132" s="139"/>
      <c r="D132" s="139"/>
      <c r="G132" s="145"/>
      <c r="I132" s="146"/>
      <c r="J132" s="175"/>
      <c r="K132" s="146"/>
      <c r="L132" s="148"/>
      <c r="M132" s="146"/>
      <c r="N132" s="148"/>
      <c r="O132" s="146"/>
      <c r="P132" s="146"/>
      <c r="Q132" s="139"/>
      <c r="R132" s="150"/>
      <c r="S132" s="150"/>
      <c r="T132" s="139"/>
      <c r="U132" s="139"/>
      <c r="V132" s="139"/>
      <c r="W132" s="150"/>
      <c r="X132" s="150"/>
      <c r="Z132" s="149"/>
      <c r="AA132" s="149"/>
      <c r="AB132" s="149"/>
      <c r="AC132" s="149"/>
      <c r="AD132" s="149"/>
      <c r="AE132" s="149"/>
      <c r="AF132" s="149"/>
      <c r="AG132" s="149"/>
      <c r="AH132" s="149"/>
      <c r="AI132" s="149"/>
      <c r="AJ132" s="149"/>
      <c r="AK132" s="149"/>
      <c r="AL132" s="149"/>
      <c r="AT132" s="149"/>
      <c r="AZ132" s="149"/>
      <c r="BC132" s="139"/>
    </row>
    <row r="133" spans="2:55" s="151" customFormat="1" ht="10" x14ac:dyDescent="0.15">
      <c r="B133" s="139"/>
      <c r="C133" s="139"/>
      <c r="D133" s="139"/>
      <c r="G133" s="145"/>
      <c r="I133" s="146"/>
      <c r="J133" s="175"/>
      <c r="K133" s="146"/>
      <c r="L133" s="148"/>
      <c r="M133" s="146"/>
      <c r="N133" s="148"/>
      <c r="O133" s="146"/>
      <c r="P133" s="146"/>
      <c r="Q133" s="139"/>
      <c r="R133" s="150"/>
      <c r="S133" s="150"/>
      <c r="T133" s="139"/>
      <c r="U133" s="139"/>
      <c r="V133" s="139"/>
      <c r="W133" s="150"/>
      <c r="X133" s="150"/>
      <c r="Z133" s="149"/>
      <c r="AA133" s="149"/>
      <c r="AB133" s="149"/>
      <c r="AC133" s="149"/>
      <c r="AD133" s="149"/>
      <c r="AE133" s="149"/>
      <c r="AF133" s="149"/>
      <c r="AG133" s="149"/>
      <c r="AH133" s="149"/>
      <c r="AI133" s="149"/>
      <c r="AJ133" s="149"/>
      <c r="AK133" s="149"/>
      <c r="AL133" s="149"/>
      <c r="AT133" s="149"/>
      <c r="AZ133" s="149"/>
      <c r="BC133" s="139"/>
    </row>
    <row r="134" spans="2:55" s="151" customFormat="1" ht="10" x14ac:dyDescent="0.15">
      <c r="B134" s="139"/>
      <c r="C134" s="139"/>
      <c r="D134" s="139"/>
      <c r="G134" s="145"/>
      <c r="I134" s="146"/>
      <c r="J134" s="175"/>
      <c r="K134" s="146"/>
      <c r="L134" s="148"/>
      <c r="M134" s="146"/>
      <c r="N134" s="148"/>
      <c r="O134" s="146"/>
      <c r="P134" s="146"/>
      <c r="Q134" s="139"/>
      <c r="R134" s="150"/>
      <c r="S134" s="150"/>
      <c r="T134" s="139"/>
      <c r="U134" s="139"/>
      <c r="V134" s="139"/>
      <c r="W134" s="150"/>
      <c r="X134" s="150"/>
      <c r="Z134" s="149"/>
      <c r="AA134" s="149"/>
      <c r="AB134" s="149"/>
      <c r="AC134" s="149"/>
      <c r="AD134" s="149"/>
      <c r="AE134" s="149"/>
      <c r="AF134" s="149"/>
      <c r="AG134" s="149"/>
      <c r="AH134" s="149"/>
      <c r="AI134" s="149"/>
      <c r="AJ134" s="149"/>
      <c r="AK134" s="149"/>
      <c r="AL134" s="149"/>
      <c r="AT134" s="149"/>
      <c r="AZ134" s="149"/>
      <c r="BC134" s="139"/>
    </row>
    <row r="135" spans="2:55" s="151" customFormat="1" ht="10" x14ac:dyDescent="0.15">
      <c r="B135" s="139"/>
      <c r="C135" s="139"/>
      <c r="D135" s="139"/>
      <c r="G135" s="145"/>
      <c r="I135" s="146"/>
      <c r="J135" s="175"/>
      <c r="K135" s="146"/>
      <c r="L135" s="148"/>
      <c r="M135" s="146"/>
      <c r="N135" s="148"/>
      <c r="O135" s="146"/>
      <c r="P135" s="146"/>
      <c r="Q135" s="139"/>
      <c r="R135" s="150"/>
      <c r="S135" s="150"/>
      <c r="T135" s="139"/>
      <c r="U135" s="139"/>
      <c r="V135" s="139"/>
      <c r="W135" s="150"/>
      <c r="X135" s="150"/>
      <c r="Z135" s="149"/>
      <c r="AA135" s="149"/>
      <c r="AB135" s="149"/>
      <c r="AC135" s="149"/>
      <c r="AD135" s="149"/>
      <c r="AE135" s="149"/>
      <c r="AF135" s="149"/>
      <c r="AG135" s="149"/>
      <c r="AH135" s="149"/>
      <c r="AI135" s="149"/>
      <c r="AJ135" s="149"/>
      <c r="AK135" s="149"/>
      <c r="AL135" s="149"/>
      <c r="AT135" s="149"/>
      <c r="AZ135" s="149"/>
      <c r="BC135" s="139"/>
    </row>
    <row r="136" spans="2:55" s="151" customFormat="1" ht="10" x14ac:dyDescent="0.15">
      <c r="B136" s="139"/>
      <c r="C136" s="139"/>
      <c r="D136" s="139"/>
      <c r="G136" s="145"/>
      <c r="I136" s="146"/>
      <c r="J136" s="175"/>
      <c r="K136" s="146"/>
      <c r="L136" s="148"/>
      <c r="M136" s="146"/>
      <c r="N136" s="148"/>
      <c r="O136" s="146"/>
      <c r="P136" s="146"/>
      <c r="Q136" s="139"/>
      <c r="R136" s="150"/>
      <c r="S136" s="150"/>
      <c r="T136" s="139"/>
      <c r="U136" s="139"/>
      <c r="V136" s="139"/>
      <c r="W136" s="150"/>
      <c r="X136" s="150"/>
      <c r="Z136" s="149"/>
      <c r="AA136" s="149"/>
      <c r="AB136" s="149"/>
      <c r="AC136" s="149"/>
      <c r="AD136" s="149"/>
      <c r="AE136" s="149"/>
      <c r="AF136" s="149"/>
      <c r="AG136" s="149"/>
      <c r="AH136" s="149"/>
      <c r="AI136" s="149"/>
      <c r="AJ136" s="149"/>
      <c r="AK136" s="149"/>
      <c r="AL136" s="149"/>
      <c r="AT136" s="149"/>
      <c r="AZ136" s="149"/>
      <c r="BC136" s="139"/>
    </row>
    <row r="137" spans="2:55" s="151" customFormat="1" ht="10" x14ac:dyDescent="0.15">
      <c r="B137" s="139"/>
      <c r="C137" s="139"/>
      <c r="D137" s="139"/>
      <c r="G137" s="145"/>
      <c r="I137" s="146"/>
      <c r="J137" s="175"/>
      <c r="K137" s="146"/>
      <c r="L137" s="148"/>
      <c r="M137" s="146"/>
      <c r="N137" s="148"/>
      <c r="O137" s="146"/>
      <c r="P137" s="146"/>
      <c r="Q137" s="139"/>
      <c r="R137" s="150"/>
      <c r="S137" s="150"/>
      <c r="T137" s="139"/>
      <c r="U137" s="139"/>
      <c r="V137" s="139"/>
      <c r="W137" s="150"/>
      <c r="X137" s="150"/>
      <c r="Z137" s="149"/>
      <c r="AA137" s="149"/>
      <c r="AB137" s="149"/>
      <c r="AC137" s="149"/>
      <c r="AD137" s="149"/>
      <c r="AE137" s="149"/>
      <c r="AF137" s="149"/>
      <c r="AG137" s="149"/>
      <c r="AH137" s="149"/>
      <c r="AI137" s="149"/>
      <c r="AJ137" s="149"/>
      <c r="AK137" s="149"/>
      <c r="AL137" s="149"/>
      <c r="AT137" s="149"/>
      <c r="AZ137" s="149"/>
      <c r="BC137" s="139"/>
    </row>
    <row r="138" spans="2:55" s="151" customFormat="1" ht="10" x14ac:dyDescent="0.15">
      <c r="B138" s="139"/>
      <c r="C138" s="139"/>
      <c r="D138" s="139"/>
      <c r="G138" s="145"/>
      <c r="I138" s="146"/>
      <c r="J138" s="175"/>
      <c r="K138" s="146"/>
      <c r="L138" s="148"/>
      <c r="M138" s="146"/>
      <c r="N138" s="148"/>
      <c r="O138" s="146"/>
      <c r="P138" s="146"/>
      <c r="Q138" s="139"/>
      <c r="R138" s="150"/>
      <c r="S138" s="150"/>
      <c r="T138" s="139"/>
      <c r="U138" s="139"/>
      <c r="V138" s="139"/>
      <c r="W138" s="150"/>
      <c r="X138" s="150"/>
      <c r="Z138" s="149"/>
      <c r="AA138" s="149"/>
      <c r="AB138" s="149"/>
      <c r="AC138" s="149"/>
      <c r="AD138" s="149"/>
      <c r="AE138" s="149"/>
      <c r="AF138" s="149"/>
      <c r="AG138" s="149"/>
      <c r="AH138" s="149"/>
      <c r="AI138" s="149"/>
      <c r="AJ138" s="149"/>
      <c r="AK138" s="149"/>
      <c r="AL138" s="149"/>
      <c r="AT138" s="149"/>
      <c r="AZ138" s="149"/>
      <c r="BC138" s="139"/>
    </row>
    <row r="139" spans="2:55" s="151" customFormat="1" ht="10" x14ac:dyDescent="0.15">
      <c r="B139" s="139"/>
      <c r="C139" s="139"/>
      <c r="D139" s="139"/>
      <c r="G139" s="145"/>
      <c r="I139" s="146"/>
      <c r="J139" s="175"/>
      <c r="K139" s="146"/>
      <c r="L139" s="148"/>
      <c r="M139" s="146"/>
      <c r="N139" s="148"/>
      <c r="O139" s="146"/>
      <c r="P139" s="146"/>
      <c r="Q139" s="139"/>
      <c r="R139" s="150"/>
      <c r="S139" s="150"/>
      <c r="T139" s="139"/>
      <c r="U139" s="139"/>
      <c r="V139" s="139"/>
      <c r="W139" s="150"/>
      <c r="X139" s="150"/>
      <c r="Z139" s="149"/>
      <c r="AA139" s="149"/>
      <c r="AB139" s="149"/>
      <c r="AC139" s="149"/>
      <c r="AD139" s="149"/>
      <c r="AE139" s="149"/>
      <c r="AF139" s="149"/>
      <c r="AG139" s="149"/>
      <c r="AH139" s="149"/>
      <c r="AI139" s="149"/>
      <c r="AJ139" s="149"/>
      <c r="AK139" s="149"/>
      <c r="AL139" s="149"/>
      <c r="AT139" s="149"/>
      <c r="AZ139" s="149"/>
      <c r="BC139" s="139"/>
    </row>
    <row r="140" spans="2:55" s="151" customFormat="1" ht="10" x14ac:dyDescent="0.15">
      <c r="B140" s="139"/>
      <c r="C140" s="139"/>
      <c r="D140" s="139"/>
      <c r="G140" s="145"/>
      <c r="I140" s="146"/>
      <c r="J140" s="175"/>
      <c r="K140" s="146"/>
      <c r="L140" s="148"/>
      <c r="M140" s="146"/>
      <c r="N140" s="148"/>
      <c r="O140" s="146"/>
      <c r="P140" s="146"/>
      <c r="Q140" s="139"/>
      <c r="R140" s="150"/>
      <c r="S140" s="150"/>
      <c r="T140" s="139"/>
      <c r="U140" s="139"/>
      <c r="V140" s="139"/>
      <c r="W140" s="150"/>
      <c r="X140" s="150"/>
      <c r="Z140" s="149"/>
      <c r="AA140" s="149"/>
      <c r="AB140" s="149"/>
      <c r="AC140" s="149"/>
      <c r="AD140" s="149"/>
      <c r="AE140" s="149"/>
      <c r="AF140" s="149"/>
      <c r="AG140" s="149"/>
      <c r="AH140" s="149"/>
      <c r="AI140" s="149"/>
      <c r="AJ140" s="149"/>
      <c r="AK140" s="149"/>
      <c r="AL140" s="149"/>
      <c r="AT140" s="149"/>
      <c r="AZ140" s="149"/>
      <c r="BC140" s="139"/>
    </row>
    <row r="141" spans="2:55" s="151" customFormat="1" ht="10" x14ac:dyDescent="0.15">
      <c r="B141" s="139"/>
      <c r="C141" s="139"/>
      <c r="D141" s="139"/>
      <c r="G141" s="145"/>
      <c r="I141" s="146"/>
      <c r="J141" s="175"/>
      <c r="K141" s="146"/>
      <c r="L141" s="148"/>
      <c r="M141" s="146"/>
      <c r="N141" s="148"/>
      <c r="O141" s="146"/>
      <c r="P141" s="146"/>
      <c r="Q141" s="139"/>
      <c r="R141" s="150"/>
      <c r="S141" s="150"/>
      <c r="T141" s="139"/>
      <c r="U141" s="139"/>
      <c r="V141" s="139"/>
      <c r="W141" s="150"/>
      <c r="X141" s="150"/>
      <c r="Z141" s="149"/>
      <c r="AA141" s="149"/>
      <c r="AB141" s="149"/>
      <c r="AC141" s="149"/>
      <c r="AD141" s="149"/>
      <c r="AE141" s="149"/>
      <c r="AF141" s="149"/>
      <c r="AG141" s="149"/>
      <c r="AH141" s="149"/>
      <c r="AI141" s="149"/>
      <c r="AJ141" s="149"/>
      <c r="AK141" s="149"/>
      <c r="AL141" s="149"/>
      <c r="AT141" s="149"/>
      <c r="AZ141" s="149"/>
      <c r="BC141" s="139"/>
    </row>
    <row r="142" spans="2:55" s="151" customFormat="1" ht="10" x14ac:dyDescent="0.15">
      <c r="B142" s="139"/>
      <c r="C142" s="139"/>
      <c r="D142" s="139"/>
      <c r="G142" s="145"/>
      <c r="I142" s="146"/>
      <c r="J142" s="175"/>
      <c r="K142" s="146"/>
      <c r="L142" s="148"/>
      <c r="M142" s="146"/>
      <c r="N142" s="148"/>
      <c r="O142" s="146"/>
      <c r="P142" s="146"/>
      <c r="Q142" s="139"/>
      <c r="R142" s="150"/>
      <c r="S142" s="150"/>
      <c r="T142" s="139"/>
      <c r="U142" s="139"/>
      <c r="V142" s="139"/>
      <c r="W142" s="150"/>
      <c r="X142" s="150"/>
      <c r="Z142" s="149"/>
      <c r="AA142" s="149"/>
      <c r="AB142" s="149"/>
      <c r="AC142" s="149"/>
      <c r="AD142" s="149"/>
      <c r="AE142" s="149"/>
      <c r="AF142" s="149"/>
      <c r="AG142" s="149"/>
      <c r="AH142" s="149"/>
      <c r="AI142" s="149"/>
      <c r="AJ142" s="149"/>
      <c r="AK142" s="149"/>
      <c r="AL142" s="149"/>
      <c r="AT142" s="149"/>
      <c r="AZ142" s="149"/>
      <c r="BC142" s="139"/>
    </row>
    <row r="143" spans="2:55" s="151" customFormat="1" ht="10" x14ac:dyDescent="0.15">
      <c r="B143" s="139"/>
      <c r="C143" s="139"/>
      <c r="D143" s="139"/>
      <c r="G143" s="145"/>
      <c r="I143" s="146"/>
      <c r="J143" s="175"/>
      <c r="K143" s="146"/>
      <c r="L143" s="148"/>
      <c r="M143" s="146"/>
      <c r="N143" s="148"/>
      <c r="O143" s="146"/>
      <c r="P143" s="146"/>
      <c r="Q143" s="139"/>
      <c r="R143" s="150"/>
      <c r="S143" s="150"/>
      <c r="T143" s="139"/>
      <c r="U143" s="139"/>
      <c r="V143" s="139"/>
      <c r="W143" s="150"/>
      <c r="X143" s="150"/>
      <c r="Z143" s="149"/>
      <c r="AA143" s="149"/>
      <c r="AB143" s="149"/>
      <c r="AC143" s="149"/>
      <c r="AD143" s="149"/>
      <c r="AE143" s="149"/>
      <c r="AF143" s="149"/>
      <c r="AG143" s="149"/>
      <c r="AH143" s="149"/>
      <c r="AI143" s="149"/>
      <c r="AJ143" s="149"/>
      <c r="AK143" s="149"/>
      <c r="AL143" s="149"/>
      <c r="AT143" s="149"/>
      <c r="AZ143" s="149"/>
      <c r="BC143" s="139"/>
    </row>
    <row r="144" spans="2:55" s="151" customFormat="1" ht="10" x14ac:dyDescent="0.15">
      <c r="B144" s="139"/>
      <c r="C144" s="139"/>
      <c r="D144" s="139"/>
      <c r="G144" s="145"/>
      <c r="I144" s="146"/>
      <c r="J144" s="175"/>
      <c r="K144" s="146"/>
      <c r="L144" s="148"/>
      <c r="M144" s="146"/>
      <c r="N144" s="148"/>
      <c r="O144" s="146"/>
      <c r="P144" s="146"/>
      <c r="Q144" s="139"/>
      <c r="R144" s="150"/>
      <c r="S144" s="150"/>
      <c r="T144" s="139"/>
      <c r="U144" s="139"/>
      <c r="V144" s="139"/>
      <c r="W144" s="150"/>
      <c r="X144" s="150"/>
      <c r="Z144" s="149"/>
      <c r="AA144" s="149"/>
      <c r="AB144" s="149"/>
      <c r="AC144" s="149"/>
      <c r="AD144" s="149"/>
      <c r="AE144" s="149"/>
      <c r="AF144" s="149"/>
      <c r="AG144" s="149"/>
      <c r="AH144" s="149"/>
      <c r="AI144" s="149"/>
      <c r="AJ144" s="149"/>
      <c r="AK144" s="149"/>
      <c r="AL144" s="149"/>
      <c r="AT144" s="149"/>
      <c r="AZ144" s="149"/>
      <c r="BC144" s="139"/>
    </row>
    <row r="145" spans="2:55" s="151" customFormat="1" ht="10" x14ac:dyDescent="0.15">
      <c r="B145" s="139"/>
      <c r="C145" s="139"/>
      <c r="D145" s="139"/>
      <c r="G145" s="145"/>
      <c r="I145" s="146"/>
      <c r="J145" s="175"/>
      <c r="K145" s="146"/>
      <c r="L145" s="148"/>
      <c r="M145" s="146"/>
      <c r="N145" s="148"/>
      <c r="O145" s="146"/>
      <c r="P145" s="146"/>
      <c r="Q145" s="139"/>
      <c r="R145" s="150"/>
      <c r="S145" s="150"/>
      <c r="T145" s="139"/>
      <c r="U145" s="139"/>
      <c r="V145" s="139"/>
      <c r="W145" s="150"/>
      <c r="X145" s="150"/>
      <c r="Z145" s="149"/>
      <c r="AA145" s="149"/>
      <c r="AB145" s="149"/>
      <c r="AC145" s="149"/>
      <c r="AD145" s="149"/>
      <c r="AE145" s="149"/>
      <c r="AF145" s="149"/>
      <c r="AG145" s="149"/>
      <c r="AH145" s="149"/>
      <c r="AI145" s="149"/>
      <c r="AJ145" s="149"/>
      <c r="AK145" s="149"/>
      <c r="AL145" s="149"/>
      <c r="AT145" s="149"/>
      <c r="AZ145" s="149"/>
      <c r="BC145" s="139"/>
    </row>
    <row r="146" spans="2:55" s="151" customFormat="1" ht="10" x14ac:dyDescent="0.15">
      <c r="B146" s="139"/>
      <c r="C146" s="139"/>
      <c r="D146" s="139"/>
      <c r="G146" s="145"/>
      <c r="I146" s="146"/>
      <c r="J146" s="175"/>
      <c r="K146" s="146"/>
      <c r="L146" s="148"/>
      <c r="M146" s="146"/>
      <c r="N146" s="148"/>
      <c r="O146" s="146"/>
      <c r="P146" s="146"/>
      <c r="Q146" s="139"/>
      <c r="R146" s="150"/>
      <c r="S146" s="150"/>
      <c r="T146" s="139"/>
      <c r="U146" s="139"/>
      <c r="V146" s="139"/>
      <c r="W146" s="150"/>
      <c r="X146" s="150"/>
      <c r="Z146" s="149"/>
      <c r="AA146" s="149"/>
      <c r="AB146" s="149"/>
      <c r="AC146" s="149"/>
      <c r="AD146" s="149"/>
      <c r="AE146" s="149"/>
      <c r="AF146" s="149"/>
      <c r="AG146" s="149"/>
      <c r="AH146" s="149"/>
      <c r="AI146" s="149"/>
      <c r="AJ146" s="149"/>
      <c r="AK146" s="149"/>
      <c r="AL146" s="149"/>
      <c r="AT146" s="149"/>
      <c r="AZ146" s="149"/>
      <c r="BC146" s="139"/>
    </row>
    <row r="147" spans="2:55" s="151" customFormat="1" ht="10" x14ac:dyDescent="0.15">
      <c r="B147" s="139"/>
      <c r="C147" s="139"/>
      <c r="D147" s="139"/>
      <c r="G147" s="145"/>
      <c r="I147" s="146"/>
      <c r="J147" s="175"/>
      <c r="K147" s="146"/>
      <c r="L147" s="148"/>
      <c r="M147" s="146"/>
      <c r="N147" s="148"/>
      <c r="O147" s="146"/>
      <c r="P147" s="146"/>
      <c r="Q147" s="139"/>
      <c r="R147" s="150"/>
      <c r="S147" s="150"/>
      <c r="T147" s="139"/>
      <c r="U147" s="139"/>
      <c r="V147" s="139"/>
      <c r="W147" s="150"/>
      <c r="X147" s="150"/>
      <c r="Z147" s="149"/>
      <c r="AA147" s="149"/>
      <c r="AB147" s="149"/>
      <c r="AC147" s="149"/>
      <c r="AD147" s="149"/>
      <c r="AE147" s="149"/>
      <c r="AF147" s="149"/>
      <c r="AG147" s="149"/>
      <c r="AH147" s="149"/>
      <c r="AI147" s="149"/>
      <c r="AJ147" s="149"/>
      <c r="AK147" s="149"/>
      <c r="AL147" s="149"/>
      <c r="AT147" s="149"/>
      <c r="AZ147" s="149"/>
      <c r="BC147" s="139"/>
    </row>
    <row r="148" spans="2:55" s="151" customFormat="1" ht="10" x14ac:dyDescent="0.15">
      <c r="B148" s="139"/>
      <c r="C148" s="139"/>
      <c r="D148" s="139"/>
      <c r="F148" s="139"/>
      <c r="G148" s="145"/>
      <c r="H148" s="139"/>
      <c r="I148" s="146"/>
      <c r="J148" s="175"/>
      <c r="K148" s="146"/>
      <c r="L148" s="148"/>
      <c r="M148" s="146"/>
      <c r="N148" s="148"/>
      <c r="O148" s="146"/>
      <c r="P148" s="146"/>
      <c r="Q148" s="146"/>
      <c r="R148" s="150"/>
      <c r="S148" s="150"/>
      <c r="T148" s="139"/>
      <c r="U148" s="139"/>
      <c r="V148" s="139"/>
      <c r="W148" s="150"/>
      <c r="X148" s="150"/>
      <c r="Z148" s="149"/>
      <c r="AA148" s="149"/>
      <c r="AB148" s="149"/>
      <c r="AC148" s="149"/>
      <c r="AD148" s="149"/>
      <c r="AE148" s="149"/>
      <c r="AF148" s="149"/>
      <c r="AG148" s="149"/>
      <c r="AH148" s="149"/>
      <c r="AI148" s="149"/>
      <c r="AJ148" s="149"/>
      <c r="AK148" s="149"/>
      <c r="AL148" s="149"/>
      <c r="AT148" s="149"/>
      <c r="AZ148" s="149"/>
      <c r="BC148" s="139"/>
    </row>
    <row r="149" spans="2:55" s="151" customFormat="1" ht="10" x14ac:dyDescent="0.15">
      <c r="B149" s="139"/>
      <c r="C149" s="139"/>
      <c r="D149" s="139"/>
      <c r="F149" s="139"/>
      <c r="G149" s="145"/>
      <c r="H149" s="139"/>
      <c r="I149" s="146"/>
      <c r="J149" s="175"/>
      <c r="K149" s="146"/>
      <c r="L149" s="148"/>
      <c r="M149" s="146"/>
      <c r="N149" s="148"/>
      <c r="O149" s="146"/>
      <c r="P149" s="146"/>
      <c r="Q149" s="146"/>
      <c r="R149" s="150"/>
      <c r="S149" s="150"/>
      <c r="T149" s="139"/>
      <c r="U149" s="139"/>
      <c r="V149" s="139"/>
      <c r="W149" s="150"/>
      <c r="X149" s="150"/>
      <c r="Z149" s="149"/>
      <c r="AA149" s="149"/>
      <c r="AB149" s="149"/>
      <c r="AC149" s="149"/>
      <c r="AD149" s="149"/>
      <c r="AE149" s="149"/>
      <c r="AF149" s="149"/>
      <c r="AG149" s="149"/>
      <c r="AH149" s="149"/>
      <c r="AI149" s="149"/>
      <c r="AJ149" s="149"/>
      <c r="AK149" s="149"/>
      <c r="AL149" s="149"/>
      <c r="AT149" s="149"/>
      <c r="AZ149" s="149"/>
      <c r="BC149" s="139"/>
    </row>
    <row r="150" spans="2:55" s="151" customFormat="1" ht="10" x14ac:dyDescent="0.15">
      <c r="B150" s="139"/>
      <c r="C150" s="139"/>
      <c r="D150" s="139"/>
      <c r="E150" s="150"/>
      <c r="F150" s="139"/>
      <c r="G150" s="145"/>
      <c r="H150" s="139"/>
      <c r="I150" s="146"/>
      <c r="J150" s="175"/>
      <c r="K150" s="146"/>
      <c r="L150" s="148"/>
      <c r="M150" s="146"/>
      <c r="N150" s="148"/>
      <c r="O150" s="146"/>
      <c r="P150" s="146"/>
      <c r="Q150" s="146"/>
      <c r="R150" s="150"/>
      <c r="S150" s="150"/>
      <c r="T150" s="139"/>
      <c r="U150" s="139"/>
      <c r="V150" s="139"/>
      <c r="W150" s="139"/>
      <c r="X150" s="150"/>
      <c r="Z150" s="149"/>
      <c r="AA150" s="149"/>
      <c r="AB150" s="149"/>
      <c r="AC150" s="149"/>
      <c r="AD150" s="149"/>
      <c r="AE150" s="149"/>
      <c r="AF150" s="149"/>
      <c r="AG150" s="149"/>
      <c r="AH150" s="149"/>
      <c r="AI150" s="149"/>
      <c r="AJ150" s="149"/>
      <c r="AK150" s="149"/>
      <c r="AL150" s="149"/>
      <c r="AT150" s="149"/>
      <c r="AZ150" s="149"/>
      <c r="BC150" s="139"/>
    </row>
    <row r="151" spans="2:55" s="151" customFormat="1" ht="10" x14ac:dyDescent="0.15">
      <c r="B151" s="139"/>
      <c r="C151" s="139"/>
      <c r="D151" s="139"/>
      <c r="E151" s="150"/>
      <c r="F151" s="139"/>
      <c r="G151" s="145"/>
      <c r="H151" s="139"/>
      <c r="I151" s="146"/>
      <c r="J151" s="175"/>
      <c r="K151" s="146"/>
      <c r="L151" s="148"/>
      <c r="M151" s="146"/>
      <c r="N151" s="148"/>
      <c r="O151" s="146"/>
      <c r="P151" s="146"/>
      <c r="Q151" s="146"/>
      <c r="R151" s="150"/>
      <c r="S151" s="150"/>
      <c r="T151" s="139"/>
      <c r="U151" s="139"/>
      <c r="V151" s="139"/>
      <c r="W151" s="139"/>
      <c r="X151" s="150"/>
      <c r="Z151" s="149"/>
      <c r="AA151" s="149"/>
      <c r="AB151" s="149"/>
      <c r="AC151" s="149"/>
      <c r="AD151" s="149"/>
      <c r="AE151" s="149"/>
      <c r="AF151" s="149"/>
      <c r="AG151" s="149"/>
      <c r="AH151" s="149"/>
      <c r="AI151" s="149"/>
      <c r="AJ151" s="149"/>
      <c r="AK151" s="149"/>
      <c r="AL151" s="149"/>
      <c r="AT151" s="149"/>
      <c r="AZ151" s="149"/>
      <c r="BC151" s="139"/>
    </row>
    <row r="152" spans="2:55" s="151" customFormat="1" ht="10" x14ac:dyDescent="0.15">
      <c r="B152" s="139"/>
      <c r="C152" s="139"/>
      <c r="D152" s="139"/>
      <c r="E152" s="150"/>
      <c r="F152" s="139"/>
      <c r="G152" s="145"/>
      <c r="H152" s="139"/>
      <c r="I152" s="146"/>
      <c r="J152" s="175"/>
      <c r="K152" s="146"/>
      <c r="L152" s="148"/>
      <c r="M152" s="146"/>
      <c r="N152" s="148"/>
      <c r="O152" s="146"/>
      <c r="P152" s="146"/>
      <c r="Q152" s="146"/>
      <c r="R152" s="150"/>
      <c r="S152" s="150"/>
      <c r="T152" s="139"/>
      <c r="U152" s="139"/>
      <c r="V152" s="139"/>
      <c r="W152" s="139"/>
      <c r="X152" s="150"/>
      <c r="Z152" s="149"/>
      <c r="AA152" s="149"/>
      <c r="AB152" s="149"/>
      <c r="AC152" s="149"/>
      <c r="AD152" s="149"/>
      <c r="AE152" s="149"/>
      <c r="AF152" s="149"/>
      <c r="AG152" s="149"/>
      <c r="AH152" s="149"/>
      <c r="AI152" s="149"/>
      <c r="AJ152" s="149"/>
      <c r="AK152" s="149"/>
      <c r="AL152" s="149"/>
      <c r="AT152" s="149"/>
      <c r="AZ152" s="149"/>
      <c r="BC152" s="139"/>
    </row>
    <row r="153" spans="2:55" s="151" customFormat="1" ht="10" x14ac:dyDescent="0.15">
      <c r="B153" s="139"/>
      <c r="C153" s="139"/>
      <c r="D153" s="139"/>
      <c r="E153" s="150"/>
      <c r="F153" s="139"/>
      <c r="G153" s="145"/>
      <c r="H153" s="139"/>
      <c r="I153" s="146"/>
      <c r="J153" s="175"/>
      <c r="K153" s="146"/>
      <c r="L153" s="148"/>
      <c r="M153" s="146"/>
      <c r="N153" s="148"/>
      <c r="O153" s="146"/>
      <c r="P153" s="146"/>
      <c r="Q153" s="146"/>
      <c r="R153" s="150"/>
      <c r="S153" s="150"/>
      <c r="T153" s="139"/>
      <c r="U153" s="139"/>
      <c r="V153" s="139"/>
      <c r="W153" s="139"/>
      <c r="X153" s="150"/>
      <c r="Z153" s="149"/>
      <c r="AA153" s="149"/>
      <c r="AB153" s="149"/>
      <c r="AC153" s="149"/>
      <c r="AD153" s="149"/>
      <c r="AE153" s="149"/>
      <c r="AF153" s="149"/>
      <c r="AG153" s="149"/>
      <c r="AH153" s="149"/>
      <c r="AI153" s="149"/>
      <c r="AJ153" s="149"/>
      <c r="AK153" s="149"/>
      <c r="AL153" s="149"/>
      <c r="AT153" s="149"/>
      <c r="AZ153" s="149"/>
      <c r="BC153" s="139"/>
    </row>
    <row r="154" spans="2:55" s="151" customFormat="1" ht="10" x14ac:dyDescent="0.15">
      <c r="B154" s="139"/>
      <c r="C154" s="139"/>
      <c r="D154" s="139"/>
      <c r="E154" s="150"/>
      <c r="F154" s="139"/>
      <c r="G154" s="145"/>
      <c r="H154" s="139"/>
      <c r="I154" s="146"/>
      <c r="J154" s="175"/>
      <c r="K154" s="146"/>
      <c r="L154" s="148"/>
      <c r="M154" s="146"/>
      <c r="N154" s="148"/>
      <c r="O154" s="146"/>
      <c r="P154" s="146"/>
      <c r="Q154" s="146"/>
      <c r="R154" s="150"/>
      <c r="S154" s="150"/>
      <c r="T154" s="139"/>
      <c r="U154" s="139"/>
      <c r="V154" s="139"/>
      <c r="W154" s="139"/>
      <c r="X154" s="150"/>
      <c r="Z154" s="149"/>
      <c r="AA154" s="149"/>
      <c r="AB154" s="149"/>
      <c r="AC154" s="149"/>
      <c r="AD154" s="149"/>
      <c r="AE154" s="149"/>
      <c r="AF154" s="149"/>
      <c r="AG154" s="149"/>
      <c r="AH154" s="149"/>
      <c r="AI154" s="149"/>
      <c r="AJ154" s="149"/>
      <c r="AK154" s="149"/>
      <c r="AL154" s="149"/>
      <c r="AT154" s="149"/>
      <c r="AZ154" s="149"/>
      <c r="BC154" s="139"/>
    </row>
    <row r="155" spans="2:55" s="151" customFormat="1" ht="10" x14ac:dyDescent="0.15">
      <c r="B155" s="139"/>
      <c r="C155" s="139"/>
      <c r="D155" s="139"/>
      <c r="E155" s="150"/>
      <c r="F155" s="139"/>
      <c r="G155" s="145"/>
      <c r="H155" s="139"/>
      <c r="I155" s="146"/>
      <c r="J155" s="175"/>
      <c r="K155" s="146"/>
      <c r="L155" s="148"/>
      <c r="M155" s="146"/>
      <c r="N155" s="148"/>
      <c r="O155" s="146"/>
      <c r="P155" s="146"/>
      <c r="Q155" s="146"/>
      <c r="R155" s="150"/>
      <c r="S155" s="150"/>
      <c r="T155" s="139"/>
      <c r="U155" s="139"/>
      <c r="V155" s="139"/>
      <c r="W155" s="139"/>
      <c r="X155" s="150"/>
      <c r="Z155" s="149"/>
      <c r="AA155" s="149"/>
      <c r="AB155" s="149"/>
      <c r="AC155" s="149"/>
      <c r="AD155" s="149"/>
      <c r="AE155" s="149"/>
      <c r="AF155" s="149"/>
      <c r="AG155" s="149"/>
      <c r="AH155" s="149"/>
      <c r="AI155" s="149"/>
      <c r="AJ155" s="149"/>
      <c r="AK155" s="149"/>
      <c r="AL155" s="149"/>
      <c r="AT155" s="149"/>
      <c r="AZ155" s="149"/>
      <c r="BC155" s="139"/>
    </row>
    <row r="156" spans="2:55" s="151" customFormat="1" ht="10" x14ac:dyDescent="0.15">
      <c r="B156" s="139"/>
      <c r="C156" s="139"/>
      <c r="D156" s="139"/>
      <c r="E156" s="150"/>
      <c r="F156" s="139"/>
      <c r="G156" s="145"/>
      <c r="H156" s="139"/>
      <c r="I156" s="146"/>
      <c r="J156" s="175"/>
      <c r="K156" s="146"/>
      <c r="L156" s="148"/>
      <c r="M156" s="146"/>
      <c r="N156" s="148"/>
      <c r="O156" s="146"/>
      <c r="P156" s="146"/>
      <c r="Q156" s="146"/>
      <c r="R156" s="150"/>
      <c r="S156" s="150"/>
      <c r="T156" s="139"/>
      <c r="U156" s="139"/>
      <c r="V156" s="139"/>
      <c r="W156" s="139"/>
      <c r="X156" s="150"/>
      <c r="Z156" s="149"/>
      <c r="AA156" s="149"/>
      <c r="AB156" s="149"/>
      <c r="AC156" s="149"/>
      <c r="AD156" s="149"/>
      <c r="AE156" s="149"/>
      <c r="AF156" s="149"/>
      <c r="AG156" s="149"/>
      <c r="AH156" s="149"/>
      <c r="AI156" s="149"/>
      <c r="AJ156" s="149"/>
      <c r="AK156" s="149"/>
      <c r="AL156" s="149"/>
      <c r="AT156" s="149"/>
      <c r="AZ156" s="149"/>
      <c r="BC156" s="139"/>
    </row>
    <row r="157" spans="2:55" s="151" customFormat="1" ht="10" x14ac:dyDescent="0.15">
      <c r="B157" s="139"/>
      <c r="C157" s="139"/>
      <c r="D157" s="139"/>
      <c r="E157" s="150"/>
      <c r="F157" s="139"/>
      <c r="G157" s="145"/>
      <c r="H157" s="139"/>
      <c r="I157" s="146"/>
      <c r="J157" s="175"/>
      <c r="K157" s="146"/>
      <c r="L157" s="148"/>
      <c r="M157" s="146"/>
      <c r="N157" s="148"/>
      <c r="O157" s="146"/>
      <c r="P157" s="146"/>
      <c r="Q157" s="146"/>
      <c r="R157" s="150"/>
      <c r="S157" s="150"/>
      <c r="T157" s="139"/>
      <c r="U157" s="139"/>
      <c r="V157" s="139"/>
      <c r="W157" s="139"/>
      <c r="X157" s="150"/>
      <c r="Z157" s="149"/>
      <c r="AA157" s="149"/>
      <c r="AB157" s="149"/>
      <c r="AC157" s="149"/>
      <c r="AD157" s="149"/>
      <c r="AE157" s="149"/>
      <c r="AF157" s="149"/>
      <c r="AG157" s="149"/>
      <c r="AH157" s="149"/>
      <c r="AI157" s="149"/>
      <c r="AJ157" s="149"/>
      <c r="AK157" s="149"/>
      <c r="AL157" s="149"/>
      <c r="AT157" s="149"/>
      <c r="AZ157" s="149"/>
      <c r="BC157" s="139"/>
    </row>
    <row r="158" spans="2:55" s="151" customFormat="1" ht="10" x14ac:dyDescent="0.15">
      <c r="B158" s="139"/>
      <c r="C158" s="139"/>
      <c r="D158" s="139"/>
      <c r="E158" s="150"/>
      <c r="F158" s="139"/>
      <c r="G158" s="145"/>
      <c r="H158" s="139"/>
      <c r="I158" s="146"/>
      <c r="J158" s="175"/>
      <c r="K158" s="146"/>
      <c r="L158" s="148"/>
      <c r="M158" s="146"/>
      <c r="N158" s="148"/>
      <c r="O158" s="146"/>
      <c r="P158" s="146"/>
      <c r="Q158" s="146"/>
      <c r="R158" s="150"/>
      <c r="S158" s="150"/>
      <c r="T158" s="139"/>
      <c r="U158" s="139"/>
      <c r="V158" s="139"/>
      <c r="W158" s="139"/>
      <c r="X158" s="150"/>
      <c r="Z158" s="149"/>
      <c r="AA158" s="149"/>
      <c r="AB158" s="149"/>
      <c r="AC158" s="149"/>
      <c r="AD158" s="149"/>
      <c r="AE158" s="149"/>
      <c r="AF158" s="149"/>
      <c r="AG158" s="149"/>
      <c r="AH158" s="149"/>
      <c r="AI158" s="149"/>
      <c r="AJ158" s="149"/>
      <c r="AK158" s="149"/>
      <c r="AL158" s="149"/>
      <c r="AT158" s="149"/>
      <c r="AZ158" s="149"/>
      <c r="BC158" s="139"/>
    </row>
    <row r="159" spans="2:55" s="151" customFormat="1" ht="10" x14ac:dyDescent="0.15">
      <c r="B159" s="139"/>
      <c r="C159" s="139"/>
      <c r="D159" s="139"/>
      <c r="E159" s="150"/>
      <c r="F159" s="139"/>
      <c r="G159" s="145"/>
      <c r="H159" s="139"/>
      <c r="I159" s="146"/>
      <c r="J159" s="175"/>
      <c r="K159" s="146"/>
      <c r="L159" s="148"/>
      <c r="M159" s="146"/>
      <c r="N159" s="148"/>
      <c r="O159" s="146"/>
      <c r="P159" s="146"/>
      <c r="Q159" s="146"/>
      <c r="R159" s="150"/>
      <c r="S159" s="150"/>
      <c r="T159" s="139"/>
      <c r="U159" s="139"/>
      <c r="V159" s="139"/>
      <c r="W159" s="139"/>
      <c r="X159" s="150"/>
      <c r="Z159" s="149"/>
      <c r="AA159" s="149"/>
      <c r="AB159" s="149"/>
      <c r="AC159" s="149"/>
      <c r="AD159" s="149"/>
      <c r="AE159" s="149"/>
      <c r="AF159" s="149"/>
      <c r="AG159" s="149"/>
      <c r="AH159" s="149"/>
      <c r="AI159" s="149"/>
      <c r="AJ159" s="149"/>
      <c r="AK159" s="149"/>
      <c r="AL159" s="149"/>
      <c r="AT159" s="149"/>
      <c r="AZ159" s="149"/>
      <c r="BC159" s="139"/>
    </row>
    <row r="160" spans="2:55" s="151" customFormat="1" ht="10" x14ac:dyDescent="0.15">
      <c r="B160" s="139"/>
      <c r="C160" s="139"/>
      <c r="D160" s="139"/>
      <c r="E160" s="150"/>
      <c r="F160" s="139"/>
      <c r="G160" s="145"/>
      <c r="H160" s="139"/>
      <c r="I160" s="146"/>
      <c r="J160" s="175"/>
      <c r="K160" s="146"/>
      <c r="L160" s="148"/>
      <c r="M160" s="146"/>
      <c r="N160" s="148"/>
      <c r="O160" s="146"/>
      <c r="P160" s="146"/>
      <c r="Q160" s="146"/>
      <c r="R160" s="150"/>
      <c r="S160" s="150"/>
      <c r="T160" s="139"/>
      <c r="U160" s="139"/>
      <c r="V160" s="139"/>
      <c r="W160" s="139"/>
      <c r="X160" s="150"/>
      <c r="Z160" s="149"/>
      <c r="AA160" s="149"/>
      <c r="AB160" s="149"/>
      <c r="AC160" s="149"/>
      <c r="AD160" s="149"/>
      <c r="AE160" s="149"/>
      <c r="AF160" s="149"/>
      <c r="AG160" s="149"/>
      <c r="AH160" s="149"/>
      <c r="AI160" s="149"/>
      <c r="AJ160" s="149"/>
      <c r="AK160" s="149"/>
      <c r="AL160" s="149"/>
      <c r="AT160" s="149"/>
      <c r="AZ160" s="149"/>
      <c r="BC160" s="139"/>
    </row>
    <row r="161" spans="2:55" s="151" customFormat="1" ht="10" x14ac:dyDescent="0.15">
      <c r="B161" s="139"/>
      <c r="C161" s="139"/>
      <c r="D161" s="139"/>
      <c r="E161" s="150"/>
      <c r="F161" s="139"/>
      <c r="G161" s="145"/>
      <c r="H161" s="139"/>
      <c r="I161" s="146"/>
      <c r="J161" s="175"/>
      <c r="K161" s="146"/>
      <c r="L161" s="148"/>
      <c r="M161" s="146"/>
      <c r="N161" s="148"/>
      <c r="O161" s="146"/>
      <c r="P161" s="146"/>
      <c r="Q161" s="146"/>
      <c r="R161" s="150"/>
      <c r="S161" s="150"/>
      <c r="T161" s="139"/>
      <c r="U161" s="139"/>
      <c r="V161" s="139"/>
      <c r="W161" s="139"/>
      <c r="X161" s="150"/>
      <c r="Z161" s="149"/>
      <c r="AA161" s="149"/>
      <c r="AB161" s="149"/>
      <c r="AC161" s="149"/>
      <c r="AD161" s="149"/>
      <c r="AE161" s="149"/>
      <c r="AF161" s="149"/>
      <c r="AG161" s="149"/>
      <c r="AH161" s="149"/>
      <c r="AI161" s="149"/>
      <c r="AJ161" s="149"/>
      <c r="AK161" s="149"/>
      <c r="AL161" s="149"/>
      <c r="AT161" s="149"/>
      <c r="AZ161" s="149"/>
      <c r="BC161" s="139"/>
    </row>
    <row r="162" spans="2:55" s="151" customFormat="1" ht="10" x14ac:dyDescent="0.15">
      <c r="B162" s="139"/>
      <c r="C162" s="139"/>
      <c r="D162" s="139"/>
      <c r="E162" s="150"/>
      <c r="F162" s="139"/>
      <c r="G162" s="145"/>
      <c r="H162" s="139"/>
      <c r="I162" s="146"/>
      <c r="J162" s="175"/>
      <c r="K162" s="146"/>
      <c r="L162" s="148"/>
      <c r="M162" s="146"/>
      <c r="N162" s="148"/>
      <c r="O162" s="146"/>
      <c r="P162" s="146"/>
      <c r="Q162" s="146"/>
      <c r="R162" s="150"/>
      <c r="S162" s="150"/>
      <c r="T162" s="139"/>
      <c r="U162" s="139"/>
      <c r="V162" s="139"/>
      <c r="W162" s="139"/>
      <c r="X162" s="150"/>
      <c r="Z162" s="149"/>
      <c r="AA162" s="149"/>
      <c r="AB162" s="149"/>
      <c r="AC162" s="149"/>
      <c r="AD162" s="149"/>
      <c r="AE162" s="149"/>
      <c r="AF162" s="149"/>
      <c r="AG162" s="149"/>
      <c r="AH162" s="149"/>
      <c r="AI162" s="149"/>
      <c r="AJ162" s="149"/>
      <c r="AK162" s="149"/>
      <c r="AL162" s="149"/>
      <c r="AT162" s="149"/>
      <c r="AZ162" s="149"/>
      <c r="BC162" s="139"/>
    </row>
    <row r="163" spans="2:55" s="151" customFormat="1" ht="10" x14ac:dyDescent="0.15">
      <c r="B163" s="139"/>
      <c r="C163" s="139"/>
      <c r="D163" s="139"/>
      <c r="E163" s="150"/>
      <c r="F163" s="139"/>
      <c r="G163" s="145"/>
      <c r="H163" s="139"/>
      <c r="I163" s="146"/>
      <c r="J163" s="175"/>
      <c r="K163" s="146"/>
      <c r="L163" s="148"/>
      <c r="M163" s="146"/>
      <c r="N163" s="148"/>
      <c r="O163" s="146"/>
      <c r="P163" s="146"/>
      <c r="Q163" s="146"/>
      <c r="R163" s="150"/>
      <c r="S163" s="150"/>
      <c r="T163" s="139"/>
      <c r="U163" s="139"/>
      <c r="V163" s="139"/>
      <c r="W163" s="139"/>
      <c r="X163" s="150"/>
      <c r="Z163" s="149"/>
      <c r="AA163" s="149"/>
      <c r="AB163" s="149"/>
      <c r="AC163" s="149"/>
      <c r="AD163" s="149"/>
      <c r="AE163" s="149"/>
      <c r="AF163" s="149"/>
      <c r="AG163" s="149"/>
      <c r="AH163" s="149"/>
      <c r="AI163" s="149"/>
      <c r="AJ163" s="149"/>
      <c r="AK163" s="149"/>
      <c r="AL163" s="149"/>
      <c r="AT163" s="149"/>
      <c r="AZ163" s="149"/>
      <c r="BC163" s="139"/>
    </row>
    <row r="164" spans="2:55" s="151" customFormat="1" ht="10" x14ac:dyDescent="0.15">
      <c r="B164" s="139"/>
      <c r="C164" s="139"/>
      <c r="D164" s="139"/>
      <c r="E164" s="150"/>
      <c r="F164" s="139"/>
      <c r="G164" s="145"/>
      <c r="H164" s="139"/>
      <c r="I164" s="146"/>
      <c r="J164" s="175"/>
      <c r="K164" s="146"/>
      <c r="L164" s="148"/>
      <c r="M164" s="146"/>
      <c r="N164" s="148"/>
      <c r="O164" s="146"/>
      <c r="P164" s="146"/>
      <c r="Q164" s="146"/>
      <c r="R164" s="150"/>
      <c r="S164" s="150"/>
      <c r="T164" s="139"/>
      <c r="U164" s="139"/>
      <c r="V164" s="139"/>
      <c r="W164" s="139"/>
      <c r="X164" s="150"/>
      <c r="Z164" s="149"/>
      <c r="AA164" s="149"/>
      <c r="AB164" s="149"/>
      <c r="AC164" s="149"/>
      <c r="AD164" s="149"/>
      <c r="AE164" s="149"/>
      <c r="AF164" s="149"/>
      <c r="AG164" s="149"/>
      <c r="AH164" s="149"/>
      <c r="AI164" s="149"/>
      <c r="AJ164" s="149"/>
      <c r="AK164" s="149"/>
      <c r="AL164" s="149"/>
      <c r="AT164" s="149"/>
      <c r="AZ164" s="149"/>
      <c r="BC164" s="139"/>
    </row>
    <row r="165" spans="2:55" s="151" customFormat="1" ht="10" x14ac:dyDescent="0.15">
      <c r="B165" s="139"/>
      <c r="C165" s="139"/>
      <c r="D165" s="139"/>
      <c r="E165" s="150"/>
      <c r="F165" s="139"/>
      <c r="G165" s="145"/>
      <c r="H165" s="139"/>
      <c r="I165" s="146"/>
      <c r="J165" s="175"/>
      <c r="K165" s="146"/>
      <c r="L165" s="148"/>
      <c r="M165" s="146"/>
      <c r="N165" s="148"/>
      <c r="O165" s="146"/>
      <c r="P165" s="146"/>
      <c r="Q165" s="146"/>
      <c r="R165" s="150"/>
      <c r="S165" s="150"/>
      <c r="T165" s="139"/>
      <c r="U165" s="139"/>
      <c r="V165" s="139"/>
      <c r="W165" s="139"/>
      <c r="X165" s="150"/>
      <c r="Z165" s="149"/>
      <c r="AA165" s="149"/>
      <c r="AB165" s="149"/>
      <c r="AC165" s="149"/>
      <c r="AD165" s="149"/>
      <c r="AE165" s="149"/>
      <c r="AF165" s="149"/>
      <c r="AG165" s="149"/>
      <c r="AH165" s="149"/>
      <c r="AI165" s="149"/>
      <c r="AJ165" s="149"/>
      <c r="AK165" s="149"/>
      <c r="AL165" s="149"/>
      <c r="AT165" s="149"/>
      <c r="AZ165" s="149"/>
      <c r="BC165" s="139"/>
    </row>
    <row r="166" spans="2:55" s="151" customFormat="1" ht="10" x14ac:dyDescent="0.15">
      <c r="B166" s="139"/>
      <c r="C166" s="139"/>
      <c r="D166" s="139"/>
      <c r="E166" s="150"/>
      <c r="F166" s="139"/>
      <c r="G166" s="145"/>
      <c r="H166" s="139"/>
      <c r="I166" s="146"/>
      <c r="J166" s="175"/>
      <c r="K166" s="146"/>
      <c r="L166" s="148"/>
      <c r="M166" s="146"/>
      <c r="N166" s="148"/>
      <c r="O166" s="146"/>
      <c r="P166" s="146"/>
      <c r="Q166" s="146"/>
      <c r="R166" s="150"/>
      <c r="S166" s="150"/>
      <c r="T166" s="139"/>
      <c r="U166" s="139"/>
      <c r="V166" s="139"/>
      <c r="W166" s="139"/>
      <c r="X166" s="150"/>
      <c r="Z166" s="149"/>
      <c r="AA166" s="149"/>
      <c r="AB166" s="149"/>
      <c r="AC166" s="149"/>
      <c r="AD166" s="149"/>
      <c r="AE166" s="149"/>
      <c r="AF166" s="149"/>
      <c r="AG166" s="149"/>
      <c r="AH166" s="149"/>
      <c r="AI166" s="149"/>
      <c r="AJ166" s="149"/>
      <c r="AK166" s="149"/>
      <c r="AL166" s="149"/>
      <c r="AT166" s="149"/>
      <c r="AZ166" s="149"/>
      <c r="BC166" s="139"/>
    </row>
    <row r="167" spans="2:55" s="151" customFormat="1" ht="10" x14ac:dyDescent="0.15">
      <c r="B167" s="139"/>
      <c r="C167" s="139"/>
      <c r="D167" s="139"/>
      <c r="E167" s="150"/>
      <c r="F167" s="139"/>
      <c r="G167" s="145"/>
      <c r="H167" s="139"/>
      <c r="I167" s="146"/>
      <c r="J167" s="175"/>
      <c r="K167" s="146"/>
      <c r="L167" s="148"/>
      <c r="M167" s="146"/>
      <c r="N167" s="148"/>
      <c r="O167" s="146"/>
      <c r="P167" s="146"/>
      <c r="Q167" s="146"/>
      <c r="R167" s="150"/>
      <c r="S167" s="150"/>
      <c r="T167" s="139"/>
      <c r="U167" s="139"/>
      <c r="V167" s="139"/>
      <c r="W167" s="139"/>
      <c r="X167" s="150"/>
      <c r="Z167" s="149"/>
      <c r="AA167" s="149"/>
      <c r="AB167" s="149"/>
      <c r="AC167" s="149"/>
      <c r="AD167" s="149"/>
      <c r="AE167" s="149"/>
      <c r="AF167" s="149"/>
      <c r="AG167" s="149"/>
      <c r="AH167" s="149"/>
      <c r="AI167" s="149"/>
      <c r="AJ167" s="149"/>
      <c r="AK167" s="149"/>
      <c r="AL167" s="149"/>
      <c r="AT167" s="149"/>
      <c r="AZ167" s="149"/>
      <c r="BC167" s="139"/>
    </row>
    <row r="168" spans="2:55" s="151" customFormat="1" ht="10" x14ac:dyDescent="0.15">
      <c r="B168" s="139"/>
      <c r="C168" s="139"/>
      <c r="D168" s="139"/>
      <c r="E168" s="150"/>
      <c r="F168" s="139"/>
      <c r="G168" s="145"/>
      <c r="H168" s="139"/>
      <c r="I168" s="146"/>
      <c r="J168" s="175"/>
      <c r="K168" s="146"/>
      <c r="L168" s="148"/>
      <c r="M168" s="146"/>
      <c r="N168" s="148"/>
      <c r="O168" s="146"/>
      <c r="P168" s="146"/>
      <c r="Q168" s="146"/>
      <c r="R168" s="150"/>
      <c r="S168" s="150"/>
      <c r="T168" s="139"/>
      <c r="U168" s="139"/>
      <c r="V168" s="139"/>
      <c r="W168" s="139"/>
      <c r="X168" s="150"/>
      <c r="Z168" s="149"/>
      <c r="AA168" s="149"/>
      <c r="AB168" s="149"/>
      <c r="AC168" s="149"/>
      <c r="AD168" s="149"/>
      <c r="AE168" s="149"/>
      <c r="AF168" s="149"/>
      <c r="AG168" s="149"/>
      <c r="AH168" s="149"/>
      <c r="AI168" s="149"/>
      <c r="AJ168" s="149"/>
      <c r="AK168" s="149"/>
      <c r="AL168" s="149"/>
      <c r="AT168" s="149"/>
      <c r="AZ168" s="149"/>
      <c r="BC168" s="139"/>
    </row>
    <row r="169" spans="2:55" s="151" customFormat="1" ht="10" x14ac:dyDescent="0.15">
      <c r="B169" s="139"/>
      <c r="C169" s="139"/>
      <c r="D169" s="139"/>
      <c r="E169" s="150"/>
      <c r="F169" s="139"/>
      <c r="G169" s="145"/>
      <c r="H169" s="139"/>
      <c r="I169" s="146"/>
      <c r="J169" s="175"/>
      <c r="K169" s="146"/>
      <c r="L169" s="148"/>
      <c r="M169" s="146"/>
      <c r="N169" s="148"/>
      <c r="O169" s="146"/>
      <c r="P169" s="146"/>
      <c r="Q169" s="146"/>
      <c r="R169" s="150"/>
      <c r="S169" s="150"/>
      <c r="T169" s="139"/>
      <c r="U169" s="139"/>
      <c r="V169" s="139"/>
      <c r="W169" s="139"/>
      <c r="X169" s="150"/>
      <c r="Z169" s="149"/>
      <c r="AA169" s="149"/>
      <c r="AB169" s="149"/>
      <c r="AC169" s="149"/>
      <c r="AD169" s="149"/>
      <c r="AE169" s="149"/>
      <c r="AF169" s="149"/>
      <c r="AG169" s="149"/>
      <c r="AH169" s="149"/>
      <c r="AI169" s="149"/>
      <c r="AJ169" s="149"/>
      <c r="AK169" s="149"/>
      <c r="AL169" s="149"/>
      <c r="AT169" s="149"/>
      <c r="AZ169" s="149"/>
      <c r="BC169" s="139"/>
    </row>
    <row r="170" spans="2:55" s="151" customFormat="1" ht="10" x14ac:dyDescent="0.15">
      <c r="B170" s="139"/>
      <c r="C170" s="139"/>
      <c r="D170" s="139"/>
      <c r="E170" s="150"/>
      <c r="F170" s="139"/>
      <c r="G170" s="145"/>
      <c r="H170" s="139"/>
      <c r="I170" s="146"/>
      <c r="J170" s="175"/>
      <c r="K170" s="146"/>
      <c r="L170" s="148"/>
      <c r="M170" s="146"/>
      <c r="N170" s="148"/>
      <c r="O170" s="146"/>
      <c r="P170" s="146"/>
      <c r="Q170" s="146"/>
      <c r="R170" s="150"/>
      <c r="S170" s="150"/>
      <c r="T170" s="139"/>
      <c r="U170" s="139"/>
      <c r="V170" s="139"/>
      <c r="W170" s="139"/>
      <c r="X170" s="150"/>
      <c r="Z170" s="149"/>
      <c r="AA170" s="149"/>
      <c r="AB170" s="149"/>
      <c r="AC170" s="149"/>
      <c r="AD170" s="149"/>
      <c r="AE170" s="149"/>
      <c r="AF170" s="149"/>
      <c r="AG170" s="149"/>
      <c r="AH170" s="149"/>
      <c r="AI170" s="149"/>
      <c r="AJ170" s="149"/>
      <c r="AK170" s="149"/>
      <c r="AL170" s="149"/>
      <c r="AT170" s="149"/>
      <c r="AZ170" s="149"/>
      <c r="BC170" s="139"/>
    </row>
    <row r="171" spans="2:55" s="151" customFormat="1" ht="10" x14ac:dyDescent="0.15">
      <c r="B171" s="139"/>
      <c r="C171" s="139"/>
      <c r="D171" s="139"/>
      <c r="E171" s="150"/>
      <c r="F171" s="139"/>
      <c r="G171" s="145"/>
      <c r="H171" s="139"/>
      <c r="I171" s="146"/>
      <c r="J171" s="175"/>
      <c r="K171" s="146"/>
      <c r="L171" s="148"/>
      <c r="M171" s="146"/>
      <c r="N171" s="148"/>
      <c r="O171" s="146"/>
      <c r="P171" s="146"/>
      <c r="Q171" s="146"/>
      <c r="R171" s="150"/>
      <c r="S171" s="150"/>
      <c r="T171" s="139"/>
      <c r="U171" s="139"/>
      <c r="V171" s="139"/>
      <c r="W171" s="139"/>
      <c r="X171" s="150"/>
      <c r="Z171" s="149"/>
      <c r="AA171" s="149"/>
      <c r="AB171" s="149"/>
      <c r="AC171" s="149"/>
      <c r="AD171" s="149"/>
      <c r="AE171" s="149"/>
      <c r="AF171" s="149"/>
      <c r="AG171" s="149"/>
      <c r="AH171" s="149"/>
      <c r="AI171" s="149"/>
      <c r="AJ171" s="149"/>
      <c r="AK171" s="149"/>
      <c r="AL171" s="149"/>
      <c r="AT171" s="149"/>
      <c r="AZ171" s="149"/>
      <c r="BC171" s="139"/>
    </row>
    <row r="172" spans="2:55" s="151" customFormat="1" ht="10" x14ac:dyDescent="0.15">
      <c r="B172" s="139"/>
      <c r="C172" s="139"/>
      <c r="D172" s="139"/>
      <c r="E172" s="150"/>
      <c r="F172" s="139"/>
      <c r="G172" s="145"/>
      <c r="H172" s="139"/>
      <c r="I172" s="146"/>
      <c r="J172" s="175"/>
      <c r="K172" s="146"/>
      <c r="L172" s="148"/>
      <c r="M172" s="146"/>
      <c r="N172" s="148"/>
      <c r="O172" s="146"/>
      <c r="P172" s="146"/>
      <c r="Q172" s="146"/>
      <c r="R172" s="150"/>
      <c r="S172" s="150"/>
      <c r="T172" s="139"/>
      <c r="U172" s="139"/>
      <c r="V172" s="139"/>
      <c r="W172" s="139"/>
      <c r="X172" s="150"/>
      <c r="Z172" s="149"/>
      <c r="AA172" s="149"/>
      <c r="AB172" s="149"/>
      <c r="AC172" s="149"/>
      <c r="AD172" s="149"/>
      <c r="AE172" s="149"/>
      <c r="AF172" s="149"/>
      <c r="AG172" s="149"/>
      <c r="AH172" s="149"/>
      <c r="AI172" s="149"/>
      <c r="AJ172" s="149"/>
      <c r="AK172" s="149"/>
      <c r="AL172" s="149"/>
      <c r="AT172" s="149"/>
      <c r="AZ172" s="149"/>
      <c r="BC172" s="139"/>
    </row>
    <row r="173" spans="2:55" s="151" customFormat="1" ht="10" x14ac:dyDescent="0.15">
      <c r="B173" s="139"/>
      <c r="C173" s="139"/>
      <c r="D173" s="139"/>
      <c r="E173" s="150"/>
      <c r="F173" s="139"/>
      <c r="G173" s="145"/>
      <c r="H173" s="139"/>
      <c r="I173" s="146"/>
      <c r="J173" s="175"/>
      <c r="K173" s="146"/>
      <c r="L173" s="148"/>
      <c r="M173" s="146"/>
      <c r="N173" s="148"/>
      <c r="O173" s="146"/>
      <c r="P173" s="146"/>
      <c r="Q173" s="146"/>
      <c r="R173" s="150"/>
      <c r="S173" s="150"/>
      <c r="T173" s="139"/>
      <c r="U173" s="139"/>
      <c r="V173" s="139"/>
      <c r="W173" s="139"/>
      <c r="X173" s="150"/>
      <c r="Z173" s="149"/>
      <c r="AA173" s="149"/>
      <c r="AB173" s="149"/>
      <c r="AC173" s="149"/>
      <c r="AD173" s="149"/>
      <c r="AE173" s="149"/>
      <c r="AF173" s="149"/>
      <c r="AG173" s="149"/>
      <c r="AH173" s="149"/>
      <c r="AI173" s="149"/>
      <c r="AJ173" s="149"/>
      <c r="AK173" s="149"/>
      <c r="AL173" s="149"/>
      <c r="AT173" s="149"/>
      <c r="AZ173" s="149"/>
      <c r="BC173" s="139"/>
    </row>
    <row r="174" spans="2:55" s="151" customFormat="1" ht="10" x14ac:dyDescent="0.15">
      <c r="B174" s="139"/>
      <c r="C174" s="139"/>
      <c r="D174" s="139"/>
      <c r="E174" s="150"/>
      <c r="F174" s="139"/>
      <c r="G174" s="145"/>
      <c r="H174" s="139"/>
      <c r="I174" s="146"/>
      <c r="J174" s="175"/>
      <c r="K174" s="146"/>
      <c r="L174" s="148"/>
      <c r="M174" s="146"/>
      <c r="N174" s="148"/>
      <c r="O174" s="146"/>
      <c r="P174" s="146"/>
      <c r="Q174" s="146"/>
      <c r="R174" s="150"/>
      <c r="S174" s="150"/>
      <c r="T174" s="139"/>
      <c r="U174" s="139"/>
      <c r="V174" s="139"/>
      <c r="W174" s="139"/>
      <c r="X174" s="150"/>
      <c r="Z174" s="149"/>
      <c r="AA174" s="149"/>
      <c r="AB174" s="149"/>
      <c r="AC174" s="149"/>
      <c r="AD174" s="149"/>
      <c r="AE174" s="149"/>
      <c r="AF174" s="149"/>
      <c r="AG174" s="149"/>
      <c r="AH174" s="149"/>
      <c r="AI174" s="149"/>
      <c r="AJ174" s="149"/>
      <c r="AK174" s="149"/>
      <c r="AL174" s="149"/>
      <c r="AT174" s="149"/>
      <c r="AZ174" s="149"/>
      <c r="BC174" s="139"/>
    </row>
    <row r="175" spans="2:55" s="151" customFormat="1" ht="10" x14ac:dyDescent="0.15">
      <c r="B175" s="139"/>
      <c r="C175" s="139"/>
      <c r="D175" s="139"/>
      <c r="E175" s="150"/>
      <c r="F175" s="139"/>
      <c r="G175" s="145"/>
      <c r="H175" s="139"/>
      <c r="I175" s="146"/>
      <c r="J175" s="175"/>
      <c r="K175" s="146"/>
      <c r="L175" s="148"/>
      <c r="M175" s="146"/>
      <c r="N175" s="148"/>
      <c r="O175" s="146"/>
      <c r="P175" s="146"/>
      <c r="Q175" s="146"/>
      <c r="R175" s="150"/>
      <c r="S175" s="150"/>
      <c r="T175" s="139"/>
      <c r="U175" s="139"/>
      <c r="V175" s="139"/>
      <c r="W175" s="139"/>
      <c r="X175" s="150"/>
      <c r="Z175" s="149"/>
      <c r="AA175" s="149"/>
      <c r="AB175" s="149"/>
      <c r="AC175" s="149"/>
      <c r="AD175" s="149"/>
      <c r="AE175" s="149"/>
      <c r="AF175" s="149"/>
      <c r="AG175" s="149"/>
      <c r="AH175" s="149"/>
      <c r="AI175" s="149"/>
      <c r="AJ175" s="149"/>
      <c r="AK175" s="149"/>
      <c r="AL175" s="149"/>
      <c r="AT175" s="149"/>
      <c r="AZ175" s="149"/>
      <c r="BC175" s="139"/>
    </row>
    <row r="176" spans="2:55" s="151" customFormat="1" ht="10" x14ac:dyDescent="0.15">
      <c r="B176" s="139"/>
      <c r="C176" s="139"/>
      <c r="D176" s="139"/>
      <c r="E176" s="150"/>
      <c r="F176" s="139"/>
      <c r="G176" s="145"/>
      <c r="H176" s="139"/>
      <c r="I176" s="146"/>
      <c r="J176" s="175"/>
      <c r="K176" s="146"/>
      <c r="L176" s="148"/>
      <c r="M176" s="146"/>
      <c r="N176" s="148"/>
      <c r="O176" s="146"/>
      <c r="P176" s="146"/>
      <c r="Q176" s="146"/>
      <c r="R176" s="150"/>
      <c r="S176" s="150"/>
      <c r="T176" s="139"/>
      <c r="U176" s="139"/>
      <c r="V176" s="139"/>
      <c r="W176" s="139"/>
      <c r="X176" s="150"/>
      <c r="Z176" s="149"/>
      <c r="AA176" s="149"/>
      <c r="AB176" s="149"/>
      <c r="AC176" s="149"/>
      <c r="AD176" s="149"/>
      <c r="AE176" s="149"/>
      <c r="AF176" s="149"/>
      <c r="AG176" s="149"/>
      <c r="AH176" s="149"/>
      <c r="AI176" s="149"/>
      <c r="AJ176" s="149"/>
      <c r="AK176" s="149"/>
      <c r="AL176" s="149"/>
      <c r="AT176" s="149"/>
      <c r="AZ176" s="149"/>
      <c r="BC176" s="139"/>
    </row>
    <row r="177" spans="2:55" s="151" customFormat="1" ht="10" x14ac:dyDescent="0.15">
      <c r="B177" s="139"/>
      <c r="C177" s="139"/>
      <c r="D177" s="139"/>
      <c r="E177" s="150"/>
      <c r="F177" s="139"/>
      <c r="G177" s="145"/>
      <c r="H177" s="139"/>
      <c r="I177" s="146"/>
      <c r="J177" s="175"/>
      <c r="K177" s="146"/>
      <c r="L177" s="148"/>
      <c r="M177" s="146"/>
      <c r="N177" s="148"/>
      <c r="O177" s="146"/>
      <c r="P177" s="146"/>
      <c r="Q177" s="146"/>
      <c r="R177" s="150"/>
      <c r="S177" s="150"/>
      <c r="T177" s="139"/>
      <c r="U177" s="139"/>
      <c r="V177" s="139"/>
      <c r="W177" s="139"/>
      <c r="X177" s="150"/>
      <c r="Z177" s="149"/>
      <c r="AA177" s="149"/>
      <c r="AB177" s="149"/>
      <c r="AC177" s="149"/>
      <c r="AD177" s="149"/>
      <c r="AE177" s="149"/>
      <c r="AF177" s="149"/>
      <c r="AG177" s="149"/>
      <c r="AH177" s="149"/>
      <c r="AI177" s="149"/>
      <c r="AJ177" s="149"/>
      <c r="AK177" s="149"/>
      <c r="AL177" s="149"/>
      <c r="AT177" s="149"/>
      <c r="AZ177" s="149"/>
      <c r="BC177" s="139"/>
    </row>
    <row r="178" spans="2:55" s="151" customFormat="1" ht="10" x14ac:dyDescent="0.15">
      <c r="B178" s="139"/>
      <c r="C178" s="139"/>
      <c r="D178" s="139"/>
      <c r="E178" s="150"/>
      <c r="F178" s="139"/>
      <c r="G178" s="145"/>
      <c r="H178" s="139"/>
      <c r="I178" s="146"/>
      <c r="J178" s="175"/>
      <c r="K178" s="146"/>
      <c r="L178" s="148"/>
      <c r="M178" s="146"/>
      <c r="N178" s="148"/>
      <c r="O178" s="146"/>
      <c r="P178" s="146"/>
      <c r="Q178" s="146"/>
      <c r="R178" s="150"/>
      <c r="S178" s="150"/>
      <c r="T178" s="139"/>
      <c r="U178" s="139"/>
      <c r="V178" s="139"/>
      <c r="W178" s="139"/>
      <c r="X178" s="150"/>
      <c r="Z178" s="149"/>
      <c r="AA178" s="149"/>
      <c r="AB178" s="149"/>
      <c r="AC178" s="149"/>
      <c r="AD178" s="149"/>
      <c r="AE178" s="149"/>
      <c r="AF178" s="149"/>
      <c r="AG178" s="149"/>
      <c r="AH178" s="149"/>
      <c r="AI178" s="149"/>
      <c r="AJ178" s="149"/>
      <c r="AK178" s="149"/>
      <c r="AL178" s="149"/>
      <c r="AT178" s="149"/>
      <c r="AZ178" s="149"/>
      <c r="BC178" s="139"/>
    </row>
    <row r="179" spans="2:55" s="151" customFormat="1" ht="10" x14ac:dyDescent="0.15">
      <c r="B179" s="139"/>
      <c r="C179" s="139"/>
      <c r="D179" s="139"/>
      <c r="E179" s="150"/>
      <c r="F179" s="139"/>
      <c r="G179" s="145"/>
      <c r="H179" s="139"/>
      <c r="I179" s="146"/>
      <c r="J179" s="175"/>
      <c r="K179" s="146"/>
      <c r="L179" s="148"/>
      <c r="M179" s="146"/>
      <c r="N179" s="148"/>
      <c r="O179" s="146"/>
      <c r="P179" s="146"/>
      <c r="Q179" s="146"/>
      <c r="R179" s="150"/>
      <c r="S179" s="150"/>
      <c r="T179" s="139"/>
      <c r="U179" s="139"/>
      <c r="V179" s="139"/>
      <c r="W179" s="139"/>
      <c r="X179" s="150"/>
      <c r="Z179" s="149"/>
      <c r="AA179" s="149"/>
      <c r="AB179" s="149"/>
      <c r="AC179" s="149"/>
      <c r="AD179" s="149"/>
      <c r="AE179" s="149"/>
      <c r="AF179" s="149"/>
      <c r="AG179" s="149"/>
      <c r="AH179" s="149"/>
      <c r="AI179" s="149"/>
      <c r="AJ179" s="149"/>
      <c r="AK179" s="149"/>
      <c r="AL179" s="149"/>
      <c r="AT179" s="149"/>
      <c r="AZ179" s="149"/>
      <c r="BC179" s="139"/>
    </row>
    <row r="180" spans="2:55" s="151" customFormat="1" ht="10" x14ac:dyDescent="0.15">
      <c r="B180" s="139"/>
      <c r="C180" s="139"/>
      <c r="D180" s="139"/>
      <c r="E180" s="150"/>
      <c r="F180" s="139"/>
      <c r="G180" s="145"/>
      <c r="H180" s="139"/>
      <c r="I180" s="146"/>
      <c r="J180" s="175"/>
      <c r="K180" s="146"/>
      <c r="L180" s="148"/>
      <c r="M180" s="146"/>
      <c r="N180" s="148"/>
      <c r="O180" s="146"/>
      <c r="P180" s="146"/>
      <c r="Q180" s="146"/>
      <c r="R180" s="150"/>
      <c r="S180" s="150"/>
      <c r="T180" s="139"/>
      <c r="U180" s="139"/>
      <c r="V180" s="139"/>
      <c r="W180" s="139"/>
      <c r="X180" s="150"/>
      <c r="Z180" s="149"/>
      <c r="AA180" s="149"/>
      <c r="AB180" s="149"/>
      <c r="AC180" s="149"/>
      <c r="AD180" s="149"/>
      <c r="AE180" s="149"/>
      <c r="AF180" s="149"/>
      <c r="AG180" s="149"/>
      <c r="AH180" s="149"/>
      <c r="AI180" s="149"/>
      <c r="AJ180" s="149"/>
      <c r="AK180" s="149"/>
      <c r="AL180" s="149"/>
      <c r="AT180" s="149"/>
      <c r="AZ180" s="149"/>
      <c r="BC180" s="139"/>
    </row>
    <row r="181" spans="2:55" s="151" customFormat="1" ht="10" x14ac:dyDescent="0.15">
      <c r="B181" s="139"/>
      <c r="C181" s="139"/>
      <c r="D181" s="139"/>
      <c r="E181" s="150"/>
      <c r="F181" s="139"/>
      <c r="G181" s="145"/>
      <c r="H181" s="139"/>
      <c r="I181" s="146"/>
      <c r="J181" s="175"/>
      <c r="K181" s="146"/>
      <c r="L181" s="148"/>
      <c r="M181" s="146"/>
      <c r="N181" s="148"/>
      <c r="O181" s="146"/>
      <c r="P181" s="146"/>
      <c r="Q181" s="146"/>
      <c r="R181" s="150"/>
      <c r="S181" s="150"/>
      <c r="T181" s="139"/>
      <c r="U181" s="139"/>
      <c r="V181" s="139"/>
      <c r="W181" s="139"/>
      <c r="X181" s="150"/>
      <c r="Z181" s="149"/>
      <c r="AA181" s="149"/>
      <c r="AB181" s="149"/>
      <c r="AC181" s="149"/>
      <c r="AD181" s="149"/>
      <c r="AE181" s="149"/>
      <c r="AF181" s="149"/>
      <c r="AG181" s="149"/>
      <c r="AH181" s="149"/>
      <c r="AI181" s="149"/>
      <c r="AJ181" s="149"/>
      <c r="AK181" s="149"/>
      <c r="AL181" s="149"/>
      <c r="AT181" s="149"/>
      <c r="AZ181" s="149"/>
      <c r="BC181" s="139"/>
    </row>
    <row r="182" spans="2:55" s="151" customFormat="1" ht="10" x14ac:dyDescent="0.15">
      <c r="B182" s="139"/>
      <c r="C182" s="139"/>
      <c r="D182" s="139"/>
      <c r="E182" s="150"/>
      <c r="F182" s="139"/>
      <c r="G182" s="145"/>
      <c r="H182" s="139"/>
      <c r="I182" s="146"/>
      <c r="J182" s="175"/>
      <c r="K182" s="146"/>
      <c r="L182" s="148"/>
      <c r="M182" s="146"/>
      <c r="N182" s="148"/>
      <c r="O182" s="146"/>
      <c r="P182" s="146"/>
      <c r="Q182" s="146"/>
      <c r="R182" s="150"/>
      <c r="S182" s="150"/>
      <c r="T182" s="139"/>
      <c r="U182" s="139"/>
      <c r="V182" s="139"/>
      <c r="W182" s="139"/>
      <c r="X182" s="150"/>
      <c r="Z182" s="149"/>
      <c r="AA182" s="149"/>
      <c r="AB182" s="149"/>
      <c r="AC182" s="149"/>
      <c r="AD182" s="149"/>
      <c r="AE182" s="149"/>
      <c r="AF182" s="149"/>
      <c r="AG182" s="149"/>
      <c r="AH182" s="149"/>
      <c r="AI182" s="149"/>
      <c r="AJ182" s="149"/>
      <c r="AK182" s="149"/>
      <c r="AL182" s="149"/>
      <c r="AT182" s="149"/>
      <c r="AZ182" s="149"/>
      <c r="BC182" s="139"/>
    </row>
    <row r="183" spans="2:55" s="151" customFormat="1" ht="10" x14ac:dyDescent="0.15">
      <c r="B183" s="139"/>
      <c r="C183" s="139"/>
      <c r="D183" s="139"/>
      <c r="E183" s="150"/>
      <c r="F183" s="139"/>
      <c r="G183" s="145"/>
      <c r="H183" s="139"/>
      <c r="I183" s="146"/>
      <c r="J183" s="175"/>
      <c r="K183" s="146"/>
      <c r="L183" s="148"/>
      <c r="M183" s="146"/>
      <c r="N183" s="148"/>
      <c r="O183" s="146"/>
      <c r="P183" s="146"/>
      <c r="Q183" s="146"/>
      <c r="R183" s="150"/>
      <c r="S183" s="150"/>
      <c r="T183" s="139"/>
      <c r="U183" s="139"/>
      <c r="V183" s="139"/>
      <c r="W183" s="139"/>
      <c r="X183" s="150"/>
      <c r="Z183" s="149"/>
      <c r="AA183" s="149"/>
      <c r="AB183" s="149"/>
      <c r="AC183" s="149"/>
      <c r="AD183" s="149"/>
      <c r="AE183" s="149"/>
      <c r="AF183" s="149"/>
      <c r="AG183" s="149"/>
      <c r="AH183" s="149"/>
      <c r="AI183" s="149"/>
      <c r="AJ183" s="149"/>
      <c r="AK183" s="149"/>
      <c r="AL183" s="149"/>
      <c r="AT183" s="149"/>
      <c r="AZ183" s="149"/>
      <c r="BC183" s="139"/>
    </row>
    <row r="184" spans="2:55" s="151" customFormat="1" ht="10" x14ac:dyDescent="0.15">
      <c r="B184" s="139"/>
      <c r="C184" s="139"/>
      <c r="D184" s="139"/>
      <c r="E184" s="150"/>
      <c r="F184" s="139"/>
      <c r="G184" s="145"/>
      <c r="H184" s="139"/>
      <c r="I184" s="146"/>
      <c r="J184" s="175"/>
      <c r="K184" s="146"/>
      <c r="L184" s="148"/>
      <c r="M184" s="146"/>
      <c r="N184" s="148"/>
      <c r="O184" s="146"/>
      <c r="P184" s="146"/>
      <c r="Q184" s="146"/>
      <c r="R184" s="150"/>
      <c r="S184" s="150"/>
      <c r="T184" s="139"/>
      <c r="U184" s="139"/>
      <c r="V184" s="139"/>
      <c r="W184" s="139"/>
      <c r="X184" s="150"/>
      <c r="Z184" s="149"/>
      <c r="AA184" s="149"/>
      <c r="AB184" s="149"/>
      <c r="AC184" s="149"/>
      <c r="AD184" s="149"/>
      <c r="AE184" s="149"/>
      <c r="AF184" s="149"/>
      <c r="AG184" s="149"/>
      <c r="AH184" s="149"/>
      <c r="AI184" s="149"/>
      <c r="AJ184" s="149"/>
      <c r="AK184" s="149"/>
      <c r="AL184" s="149"/>
      <c r="AT184" s="149"/>
      <c r="AZ184" s="149"/>
      <c r="BC184" s="139"/>
    </row>
    <row r="185" spans="2:55" s="151" customFormat="1" ht="10" x14ac:dyDescent="0.15">
      <c r="B185" s="139"/>
      <c r="C185" s="139"/>
      <c r="D185" s="139"/>
      <c r="E185" s="150"/>
      <c r="F185" s="139"/>
      <c r="G185" s="145"/>
      <c r="H185" s="139"/>
      <c r="I185" s="146"/>
      <c r="J185" s="175"/>
      <c r="K185" s="146"/>
      <c r="L185" s="148"/>
      <c r="M185" s="146"/>
      <c r="N185" s="148"/>
      <c r="O185" s="146"/>
      <c r="P185" s="146"/>
      <c r="Q185" s="146"/>
      <c r="R185" s="150"/>
      <c r="S185" s="150"/>
      <c r="T185" s="139"/>
      <c r="U185" s="139"/>
      <c r="V185" s="139"/>
      <c r="W185" s="139"/>
      <c r="X185" s="150"/>
      <c r="Z185" s="149"/>
      <c r="AA185" s="149"/>
      <c r="AB185" s="149"/>
      <c r="AC185" s="149"/>
      <c r="AD185" s="149"/>
      <c r="AE185" s="149"/>
      <c r="AF185" s="149"/>
      <c r="AG185" s="149"/>
      <c r="AH185" s="149"/>
      <c r="AI185" s="149"/>
      <c r="AJ185" s="149"/>
      <c r="AK185" s="149"/>
      <c r="AL185" s="149"/>
      <c r="AT185" s="149"/>
      <c r="AZ185" s="149"/>
      <c r="BC185" s="139"/>
    </row>
    <row r="186" spans="2:55" s="151" customFormat="1" ht="10" x14ac:dyDescent="0.15">
      <c r="B186" s="139"/>
      <c r="C186" s="139"/>
      <c r="D186" s="139"/>
      <c r="E186" s="150"/>
      <c r="F186" s="139"/>
      <c r="G186" s="145"/>
      <c r="H186" s="139"/>
      <c r="I186" s="146"/>
      <c r="J186" s="175"/>
      <c r="K186" s="146"/>
      <c r="L186" s="148"/>
      <c r="M186" s="146"/>
      <c r="N186" s="148"/>
      <c r="O186" s="146"/>
      <c r="P186" s="146"/>
      <c r="Q186" s="146"/>
      <c r="R186" s="150"/>
      <c r="S186" s="150"/>
      <c r="T186" s="139"/>
      <c r="U186" s="139"/>
      <c r="V186" s="139"/>
      <c r="W186" s="139"/>
      <c r="X186" s="150"/>
      <c r="Z186" s="149"/>
      <c r="AA186" s="149"/>
      <c r="AB186" s="149"/>
      <c r="AC186" s="149"/>
      <c r="AD186" s="149"/>
      <c r="AE186" s="149"/>
      <c r="AF186" s="149"/>
      <c r="AG186" s="149"/>
      <c r="AH186" s="149"/>
      <c r="AI186" s="149"/>
      <c r="AJ186" s="149"/>
      <c r="AK186" s="149"/>
      <c r="AL186" s="149"/>
      <c r="AT186" s="149"/>
      <c r="AZ186" s="149"/>
      <c r="BC186" s="139"/>
    </row>
    <row r="187" spans="2:55" s="151" customFormat="1" ht="10" x14ac:dyDescent="0.15">
      <c r="B187" s="139"/>
      <c r="C187" s="139"/>
      <c r="D187" s="139"/>
      <c r="E187" s="150"/>
      <c r="F187" s="139"/>
      <c r="G187" s="145"/>
      <c r="H187" s="139"/>
      <c r="I187" s="146"/>
      <c r="J187" s="175"/>
      <c r="K187" s="146"/>
      <c r="L187" s="148"/>
      <c r="M187" s="146"/>
      <c r="N187" s="148"/>
      <c r="O187" s="146"/>
      <c r="P187" s="146"/>
      <c r="Q187" s="146"/>
      <c r="R187" s="150"/>
      <c r="S187" s="150"/>
      <c r="T187" s="139"/>
      <c r="U187" s="139"/>
      <c r="V187" s="139"/>
      <c r="W187" s="139"/>
      <c r="X187" s="150"/>
      <c r="Z187" s="149"/>
      <c r="AA187" s="149"/>
      <c r="AB187" s="149"/>
      <c r="AC187" s="149"/>
      <c r="AD187" s="149"/>
      <c r="AE187" s="149"/>
      <c r="AF187" s="149"/>
      <c r="AG187" s="149"/>
      <c r="AH187" s="149"/>
      <c r="AI187" s="149"/>
      <c r="AJ187" s="149"/>
      <c r="AK187" s="149"/>
      <c r="AL187" s="149"/>
      <c r="AT187" s="149"/>
      <c r="AZ187" s="149"/>
      <c r="BC187" s="139"/>
    </row>
    <row r="188" spans="2:55" s="151" customFormat="1" ht="10" x14ac:dyDescent="0.15">
      <c r="B188" s="139"/>
      <c r="C188" s="139"/>
      <c r="D188" s="139"/>
      <c r="E188" s="150"/>
      <c r="F188" s="139"/>
      <c r="G188" s="145"/>
      <c r="H188" s="139"/>
      <c r="I188" s="146"/>
      <c r="J188" s="175"/>
      <c r="K188" s="146"/>
      <c r="L188" s="148"/>
      <c r="M188" s="146"/>
      <c r="N188" s="148"/>
      <c r="O188" s="146"/>
      <c r="P188" s="146"/>
      <c r="Q188" s="146"/>
      <c r="R188" s="150"/>
      <c r="S188" s="150"/>
      <c r="T188" s="139"/>
      <c r="U188" s="139"/>
      <c r="V188" s="139"/>
      <c r="W188" s="139"/>
      <c r="X188" s="150"/>
      <c r="Z188" s="149"/>
      <c r="AA188" s="149"/>
      <c r="AB188" s="149"/>
      <c r="AC188" s="149"/>
      <c r="AD188" s="149"/>
      <c r="AE188" s="149"/>
      <c r="AF188" s="149"/>
      <c r="AG188" s="149"/>
      <c r="AH188" s="149"/>
      <c r="AI188" s="149"/>
      <c r="AJ188" s="149"/>
      <c r="AK188" s="149"/>
      <c r="AL188" s="149"/>
      <c r="AT188" s="149"/>
      <c r="AZ188" s="149"/>
      <c r="BC188" s="139"/>
    </row>
    <row r="189" spans="2:55" s="151" customFormat="1" ht="10" x14ac:dyDescent="0.15">
      <c r="B189" s="139"/>
      <c r="C189" s="139"/>
      <c r="D189" s="139"/>
      <c r="E189" s="150"/>
      <c r="F189" s="139"/>
      <c r="G189" s="145"/>
      <c r="H189" s="139"/>
      <c r="I189" s="146"/>
      <c r="J189" s="175"/>
      <c r="K189" s="146"/>
      <c r="L189" s="148"/>
      <c r="M189" s="146"/>
      <c r="N189" s="148"/>
      <c r="O189" s="146"/>
      <c r="P189" s="146"/>
      <c r="Q189" s="146"/>
      <c r="R189" s="150"/>
      <c r="S189" s="150"/>
      <c r="T189" s="139"/>
      <c r="U189" s="139"/>
      <c r="V189" s="139"/>
      <c r="W189" s="139"/>
      <c r="X189" s="150"/>
      <c r="Z189" s="149"/>
      <c r="AA189" s="149"/>
      <c r="AB189" s="149"/>
      <c r="AC189" s="149"/>
      <c r="AD189" s="149"/>
      <c r="AE189" s="149"/>
      <c r="AF189" s="149"/>
      <c r="AG189" s="149"/>
      <c r="AH189" s="149"/>
      <c r="AI189" s="149"/>
      <c r="AJ189" s="149"/>
      <c r="AK189" s="149"/>
      <c r="AL189" s="149"/>
      <c r="AT189" s="149"/>
      <c r="AZ189" s="149"/>
      <c r="BC189" s="139"/>
    </row>
    <row r="190" spans="2:55" s="151" customFormat="1" ht="10" x14ac:dyDescent="0.15">
      <c r="B190" s="139"/>
      <c r="C190" s="139"/>
      <c r="D190" s="139"/>
      <c r="E190" s="150"/>
      <c r="F190" s="139"/>
      <c r="G190" s="145"/>
      <c r="H190" s="139"/>
      <c r="I190" s="146"/>
      <c r="J190" s="175"/>
      <c r="K190" s="146"/>
      <c r="L190" s="148"/>
      <c r="M190" s="146"/>
      <c r="N190" s="148"/>
      <c r="O190" s="146"/>
      <c r="P190" s="146"/>
      <c r="Q190" s="146"/>
      <c r="R190" s="150"/>
      <c r="S190" s="150"/>
      <c r="T190" s="139"/>
      <c r="U190" s="139"/>
      <c r="V190" s="139"/>
      <c r="W190" s="139"/>
      <c r="X190" s="150"/>
      <c r="Z190" s="149"/>
      <c r="AA190" s="149"/>
      <c r="AB190" s="149"/>
      <c r="AC190" s="149"/>
      <c r="AD190" s="149"/>
      <c r="AE190" s="149"/>
      <c r="AF190" s="149"/>
      <c r="AG190" s="149"/>
      <c r="AH190" s="149"/>
      <c r="AI190" s="149"/>
      <c r="AJ190" s="149"/>
      <c r="AK190" s="149"/>
      <c r="AL190" s="149"/>
      <c r="AT190" s="149"/>
      <c r="AZ190" s="149"/>
      <c r="BC190" s="139"/>
    </row>
    <row r="191" spans="2:55" s="151" customFormat="1" ht="10" x14ac:dyDescent="0.15">
      <c r="B191" s="139"/>
      <c r="C191" s="139"/>
      <c r="D191" s="139"/>
      <c r="E191" s="150"/>
      <c r="F191" s="139"/>
      <c r="G191" s="145"/>
      <c r="H191" s="139"/>
      <c r="I191" s="146"/>
      <c r="J191" s="175"/>
      <c r="K191" s="146"/>
      <c r="L191" s="148"/>
      <c r="M191" s="146"/>
      <c r="N191" s="148"/>
      <c r="O191" s="146"/>
      <c r="P191" s="146"/>
      <c r="Q191" s="146"/>
      <c r="R191" s="150"/>
      <c r="S191" s="150"/>
      <c r="T191" s="139"/>
      <c r="U191" s="139"/>
      <c r="V191" s="139"/>
      <c r="W191" s="139"/>
      <c r="X191" s="150"/>
      <c r="Z191" s="149"/>
      <c r="AA191" s="149"/>
      <c r="AB191" s="149"/>
      <c r="AC191" s="149"/>
      <c r="AD191" s="149"/>
      <c r="AE191" s="149"/>
      <c r="AF191" s="149"/>
      <c r="AG191" s="149"/>
      <c r="AH191" s="149"/>
      <c r="AI191" s="149"/>
      <c r="AJ191" s="149"/>
      <c r="AK191" s="149"/>
      <c r="AL191" s="149"/>
      <c r="AT191" s="149"/>
      <c r="AZ191" s="149"/>
      <c r="BC191" s="139"/>
    </row>
    <row r="192" spans="2:55" s="151" customFormat="1" ht="10" x14ac:dyDescent="0.15">
      <c r="B192" s="139"/>
      <c r="C192" s="139"/>
      <c r="D192" s="139"/>
      <c r="E192" s="150"/>
      <c r="F192" s="139"/>
      <c r="G192" s="145"/>
      <c r="H192" s="139"/>
      <c r="I192" s="146"/>
      <c r="J192" s="175"/>
      <c r="K192" s="146"/>
      <c r="L192" s="148"/>
      <c r="M192" s="146"/>
      <c r="N192" s="148"/>
      <c r="O192" s="146"/>
      <c r="P192" s="146"/>
      <c r="Q192" s="146"/>
      <c r="R192" s="150"/>
      <c r="S192" s="150"/>
      <c r="T192" s="139"/>
      <c r="U192" s="139"/>
      <c r="V192" s="139"/>
      <c r="W192" s="139"/>
      <c r="X192" s="150"/>
      <c r="Z192" s="149"/>
      <c r="AA192" s="149"/>
      <c r="AB192" s="149"/>
      <c r="AC192" s="149"/>
      <c r="AD192" s="149"/>
      <c r="AE192" s="149"/>
      <c r="AF192" s="149"/>
      <c r="AG192" s="149"/>
      <c r="AH192" s="149"/>
      <c r="AI192" s="149"/>
      <c r="AJ192" s="149"/>
      <c r="AK192" s="149"/>
      <c r="AL192" s="149"/>
      <c r="AT192" s="149"/>
      <c r="AZ192" s="149"/>
      <c r="BC192" s="139"/>
    </row>
    <row r="193" spans="2:55" s="151" customFormat="1" ht="10" x14ac:dyDescent="0.15">
      <c r="B193" s="139"/>
      <c r="C193" s="139"/>
      <c r="D193" s="139"/>
      <c r="E193" s="150"/>
      <c r="F193" s="139"/>
      <c r="G193" s="145"/>
      <c r="H193" s="139"/>
      <c r="I193" s="146"/>
      <c r="J193" s="175"/>
      <c r="K193" s="146"/>
      <c r="L193" s="148"/>
      <c r="M193" s="146"/>
      <c r="N193" s="148"/>
      <c r="O193" s="146"/>
      <c r="P193" s="146"/>
      <c r="Q193" s="146"/>
      <c r="R193" s="150"/>
      <c r="S193" s="150"/>
      <c r="T193" s="139"/>
      <c r="U193" s="139"/>
      <c r="V193" s="139"/>
      <c r="W193" s="139"/>
      <c r="X193" s="150"/>
      <c r="Z193" s="149"/>
      <c r="AA193" s="149"/>
      <c r="AB193" s="149"/>
      <c r="AC193" s="149"/>
      <c r="AD193" s="149"/>
      <c r="AE193" s="149"/>
      <c r="AF193" s="149"/>
      <c r="AG193" s="149"/>
      <c r="AH193" s="149"/>
      <c r="AI193" s="149"/>
      <c r="AJ193" s="149"/>
      <c r="AK193" s="149"/>
      <c r="AL193" s="149"/>
      <c r="AT193" s="149"/>
      <c r="AZ193" s="149"/>
      <c r="BC193" s="139"/>
    </row>
    <row r="194" spans="2:55" s="151" customFormat="1" ht="10" x14ac:dyDescent="0.15">
      <c r="B194" s="139"/>
      <c r="C194" s="139"/>
      <c r="D194" s="139"/>
      <c r="E194" s="150"/>
      <c r="F194" s="139"/>
      <c r="G194" s="145"/>
      <c r="H194" s="139"/>
      <c r="I194" s="146"/>
      <c r="J194" s="175"/>
      <c r="K194" s="146"/>
      <c r="L194" s="148"/>
      <c r="M194" s="146"/>
      <c r="N194" s="148"/>
      <c r="O194" s="146"/>
      <c r="P194" s="146"/>
      <c r="Q194" s="146"/>
      <c r="R194" s="150"/>
      <c r="S194" s="150"/>
      <c r="T194" s="139"/>
      <c r="U194" s="139"/>
      <c r="V194" s="139"/>
      <c r="W194" s="139"/>
      <c r="X194" s="150"/>
      <c r="Z194" s="149"/>
      <c r="AA194" s="149"/>
      <c r="AB194" s="149"/>
      <c r="AC194" s="149"/>
      <c r="AD194" s="149"/>
      <c r="AE194" s="149"/>
      <c r="AF194" s="149"/>
      <c r="AG194" s="149"/>
      <c r="AH194" s="149"/>
      <c r="AI194" s="149"/>
      <c r="AJ194" s="149"/>
      <c r="AK194" s="149"/>
      <c r="AL194" s="149"/>
      <c r="AT194" s="149"/>
      <c r="AZ194" s="149"/>
      <c r="BC194" s="139"/>
    </row>
    <row r="195" spans="2:55" s="151" customFormat="1" ht="10" x14ac:dyDescent="0.15">
      <c r="B195" s="139"/>
      <c r="C195" s="139"/>
      <c r="D195" s="139"/>
      <c r="E195" s="150"/>
      <c r="F195" s="139"/>
      <c r="G195" s="145"/>
      <c r="H195" s="139"/>
      <c r="I195" s="146"/>
      <c r="J195" s="175"/>
      <c r="K195" s="146"/>
      <c r="L195" s="148"/>
      <c r="M195" s="146"/>
      <c r="N195" s="148"/>
      <c r="O195" s="146"/>
      <c r="P195" s="146"/>
      <c r="Q195" s="146"/>
      <c r="R195" s="150"/>
      <c r="S195" s="150"/>
      <c r="T195" s="139"/>
      <c r="U195" s="139"/>
      <c r="V195" s="139"/>
      <c r="W195" s="139"/>
      <c r="X195" s="150"/>
      <c r="Z195" s="149"/>
      <c r="AA195" s="149"/>
      <c r="AB195" s="149"/>
      <c r="AC195" s="149"/>
      <c r="AD195" s="149"/>
      <c r="AE195" s="149"/>
      <c r="AF195" s="149"/>
      <c r="AG195" s="149"/>
      <c r="AH195" s="149"/>
      <c r="AI195" s="149"/>
      <c r="AJ195" s="149"/>
      <c r="AK195" s="149"/>
      <c r="AL195" s="149"/>
      <c r="AT195" s="149"/>
      <c r="AZ195" s="149"/>
      <c r="BC195" s="139"/>
    </row>
    <row r="196" spans="2:55" s="151" customFormat="1" ht="10" x14ac:dyDescent="0.15">
      <c r="B196" s="139"/>
      <c r="C196" s="139"/>
      <c r="D196" s="139"/>
      <c r="E196" s="150"/>
      <c r="F196" s="139"/>
      <c r="G196" s="145"/>
      <c r="H196" s="139"/>
      <c r="I196" s="146"/>
      <c r="J196" s="175"/>
      <c r="K196" s="146"/>
      <c r="L196" s="148"/>
      <c r="M196" s="146"/>
      <c r="N196" s="148"/>
      <c r="O196" s="146"/>
      <c r="P196" s="146"/>
      <c r="Q196" s="146"/>
      <c r="R196" s="150"/>
      <c r="S196" s="150"/>
      <c r="T196" s="139"/>
      <c r="U196" s="139"/>
      <c r="V196" s="139"/>
      <c r="W196" s="139"/>
      <c r="X196" s="150"/>
      <c r="Z196" s="149"/>
      <c r="AA196" s="149"/>
      <c r="AB196" s="149"/>
      <c r="AC196" s="149"/>
      <c r="AD196" s="149"/>
      <c r="AE196" s="149"/>
      <c r="AF196" s="149"/>
      <c r="AG196" s="149"/>
      <c r="AH196" s="149"/>
      <c r="AI196" s="149"/>
      <c r="AJ196" s="149"/>
      <c r="AK196" s="149"/>
      <c r="AL196" s="149"/>
      <c r="AT196" s="149"/>
      <c r="AZ196" s="149"/>
      <c r="BC196" s="139"/>
    </row>
    <row r="197" spans="2:55" s="151" customFormat="1" ht="10" x14ac:dyDescent="0.15">
      <c r="B197" s="139"/>
      <c r="C197" s="139"/>
      <c r="D197" s="139"/>
      <c r="E197" s="150"/>
      <c r="F197" s="139"/>
      <c r="G197" s="145"/>
      <c r="H197" s="139"/>
      <c r="I197" s="146"/>
      <c r="J197" s="175"/>
      <c r="K197" s="146"/>
      <c r="L197" s="148"/>
      <c r="M197" s="146"/>
      <c r="N197" s="148"/>
      <c r="O197" s="146"/>
      <c r="P197" s="146"/>
      <c r="Q197" s="146"/>
      <c r="R197" s="150"/>
      <c r="S197" s="150"/>
      <c r="T197" s="139"/>
      <c r="U197" s="139"/>
      <c r="V197" s="139"/>
      <c r="W197" s="139"/>
      <c r="X197" s="150"/>
      <c r="Z197" s="149"/>
      <c r="AA197" s="149"/>
      <c r="AB197" s="149"/>
      <c r="AC197" s="149"/>
      <c r="AD197" s="149"/>
      <c r="AE197" s="149"/>
      <c r="AF197" s="149"/>
      <c r="AG197" s="149"/>
      <c r="AH197" s="149"/>
      <c r="AI197" s="149"/>
      <c r="AJ197" s="149"/>
      <c r="AK197" s="149"/>
      <c r="AL197" s="149"/>
      <c r="AT197" s="149"/>
      <c r="AZ197" s="149"/>
      <c r="BC197" s="139"/>
    </row>
    <row r="198" spans="2:55" s="151" customFormat="1" ht="10" x14ac:dyDescent="0.15">
      <c r="B198" s="139"/>
      <c r="C198" s="139"/>
      <c r="D198" s="139"/>
      <c r="E198" s="150"/>
      <c r="F198" s="139"/>
      <c r="G198" s="145"/>
      <c r="H198" s="139"/>
      <c r="I198" s="146"/>
      <c r="J198" s="175"/>
      <c r="K198" s="146"/>
      <c r="L198" s="148"/>
      <c r="M198" s="146"/>
      <c r="N198" s="148"/>
      <c r="O198" s="146"/>
      <c r="P198" s="146"/>
      <c r="Q198" s="146"/>
      <c r="R198" s="150"/>
      <c r="S198" s="150"/>
      <c r="T198" s="139"/>
      <c r="U198" s="139"/>
      <c r="V198" s="139"/>
      <c r="W198" s="139"/>
      <c r="X198" s="150"/>
      <c r="Z198" s="149"/>
      <c r="AA198" s="149"/>
      <c r="AB198" s="149"/>
      <c r="AC198" s="149"/>
      <c r="AD198" s="149"/>
      <c r="AE198" s="149"/>
      <c r="AF198" s="149"/>
      <c r="AG198" s="149"/>
      <c r="AH198" s="149"/>
      <c r="AI198" s="149"/>
      <c r="AJ198" s="149"/>
      <c r="AK198" s="149"/>
      <c r="AL198" s="149"/>
      <c r="AT198" s="149"/>
      <c r="AZ198" s="149"/>
      <c r="BC198" s="139"/>
    </row>
    <row r="199" spans="2:55" s="151" customFormat="1" ht="10" x14ac:dyDescent="0.15">
      <c r="B199" s="139"/>
      <c r="C199" s="139"/>
      <c r="D199" s="139"/>
      <c r="E199" s="150"/>
      <c r="F199" s="139"/>
      <c r="G199" s="145"/>
      <c r="H199" s="139"/>
      <c r="I199" s="146"/>
      <c r="J199" s="175"/>
      <c r="K199" s="146"/>
      <c r="L199" s="148"/>
      <c r="M199" s="146"/>
      <c r="N199" s="148"/>
      <c r="O199" s="146"/>
      <c r="P199" s="146"/>
      <c r="Q199" s="146"/>
      <c r="R199" s="150"/>
      <c r="S199" s="150"/>
      <c r="T199" s="139"/>
      <c r="U199" s="139"/>
      <c r="V199" s="139"/>
      <c r="W199" s="139"/>
      <c r="X199" s="150"/>
      <c r="Z199" s="149"/>
      <c r="AA199" s="149"/>
      <c r="AB199" s="149"/>
      <c r="AC199" s="149"/>
      <c r="AD199" s="149"/>
      <c r="AE199" s="149"/>
      <c r="AF199" s="149"/>
      <c r="AG199" s="149"/>
      <c r="AH199" s="149"/>
      <c r="AI199" s="149"/>
      <c r="AJ199" s="149"/>
      <c r="AK199" s="149"/>
      <c r="AL199" s="149"/>
      <c r="AT199" s="149"/>
      <c r="AZ199" s="149"/>
      <c r="BC199" s="139"/>
    </row>
    <row r="200" spans="2:55" s="151" customFormat="1" ht="10" x14ac:dyDescent="0.15">
      <c r="B200" s="139"/>
      <c r="C200" s="139"/>
      <c r="D200" s="139"/>
      <c r="E200" s="150"/>
      <c r="F200" s="139"/>
      <c r="G200" s="145"/>
      <c r="H200" s="139"/>
      <c r="I200" s="146"/>
      <c r="J200" s="175"/>
      <c r="K200" s="146"/>
      <c r="L200" s="148"/>
      <c r="M200" s="146"/>
      <c r="N200" s="148"/>
      <c r="O200" s="146"/>
      <c r="P200" s="146"/>
      <c r="Q200" s="146"/>
      <c r="R200" s="150"/>
      <c r="S200" s="150"/>
      <c r="T200" s="139"/>
      <c r="U200" s="139"/>
      <c r="V200" s="139"/>
      <c r="W200" s="139"/>
      <c r="X200" s="150"/>
      <c r="Z200" s="149"/>
      <c r="AA200" s="149"/>
      <c r="AB200" s="149"/>
      <c r="AC200" s="149"/>
      <c r="AD200" s="149"/>
      <c r="AE200" s="149"/>
      <c r="AF200" s="149"/>
      <c r="AG200" s="149"/>
      <c r="AH200" s="149"/>
      <c r="AI200" s="149"/>
      <c r="AJ200" s="149"/>
      <c r="AK200" s="149"/>
      <c r="AL200" s="149"/>
      <c r="AT200" s="149"/>
      <c r="AZ200" s="149"/>
      <c r="BC200" s="139"/>
    </row>
    <row r="201" spans="2:55" s="151" customFormat="1" ht="10" x14ac:dyDescent="0.15">
      <c r="B201" s="139"/>
      <c r="C201" s="139"/>
      <c r="D201" s="139"/>
      <c r="E201" s="150"/>
      <c r="F201" s="139"/>
      <c r="G201" s="145"/>
      <c r="H201" s="139"/>
      <c r="I201" s="146"/>
      <c r="J201" s="175"/>
      <c r="K201" s="146"/>
      <c r="L201" s="148"/>
      <c r="M201" s="146"/>
      <c r="N201" s="148"/>
      <c r="O201" s="146"/>
      <c r="P201" s="146"/>
      <c r="Q201" s="146"/>
      <c r="R201" s="150"/>
      <c r="S201" s="150"/>
      <c r="T201" s="139"/>
      <c r="U201" s="139"/>
      <c r="V201" s="139"/>
      <c r="W201" s="139"/>
      <c r="X201" s="150"/>
      <c r="Z201" s="149"/>
      <c r="AA201" s="149"/>
      <c r="AB201" s="149"/>
      <c r="AC201" s="149"/>
      <c r="AD201" s="149"/>
      <c r="AE201" s="149"/>
      <c r="AF201" s="149"/>
      <c r="AG201" s="149"/>
      <c r="AH201" s="149"/>
      <c r="AI201" s="149"/>
      <c r="AJ201" s="149"/>
      <c r="AK201" s="149"/>
      <c r="AL201" s="149"/>
      <c r="AT201" s="149"/>
      <c r="AZ201" s="149"/>
      <c r="BC201" s="139"/>
    </row>
    <row r="202" spans="2:55" s="151" customFormat="1" ht="10" x14ac:dyDescent="0.15">
      <c r="B202" s="139"/>
      <c r="C202" s="139"/>
      <c r="D202" s="139"/>
      <c r="E202" s="150"/>
      <c r="F202" s="139"/>
      <c r="G202" s="145"/>
      <c r="H202" s="139"/>
      <c r="I202" s="146"/>
      <c r="J202" s="175"/>
      <c r="K202" s="146"/>
      <c r="L202" s="148"/>
      <c r="M202" s="146"/>
      <c r="N202" s="148"/>
      <c r="O202" s="146"/>
      <c r="P202" s="146"/>
      <c r="Q202" s="146"/>
      <c r="R202" s="150"/>
      <c r="S202" s="150"/>
      <c r="T202" s="139"/>
      <c r="U202" s="139"/>
      <c r="V202" s="139"/>
      <c r="W202" s="139"/>
      <c r="X202" s="150"/>
      <c r="Z202" s="149"/>
      <c r="AA202" s="149"/>
      <c r="AB202" s="149"/>
      <c r="AC202" s="149"/>
      <c r="AD202" s="149"/>
      <c r="AE202" s="149"/>
      <c r="AF202" s="149"/>
      <c r="AG202" s="149"/>
      <c r="AH202" s="149"/>
      <c r="AI202" s="149"/>
      <c r="AJ202" s="149"/>
      <c r="AK202" s="149"/>
      <c r="AL202" s="149"/>
      <c r="AT202" s="149"/>
      <c r="AZ202" s="149"/>
      <c r="BC202" s="139"/>
    </row>
    <row r="203" spans="2:55" s="151" customFormat="1" ht="10" x14ac:dyDescent="0.15">
      <c r="B203" s="139"/>
      <c r="C203" s="139"/>
      <c r="D203" s="139"/>
      <c r="E203" s="150"/>
      <c r="F203" s="139"/>
      <c r="G203" s="145"/>
      <c r="H203" s="139"/>
      <c r="I203" s="146"/>
      <c r="J203" s="175"/>
      <c r="K203" s="146"/>
      <c r="L203" s="148"/>
      <c r="M203" s="146"/>
      <c r="N203" s="148"/>
      <c r="O203" s="146"/>
      <c r="P203" s="146"/>
      <c r="Q203" s="146"/>
      <c r="R203" s="150"/>
      <c r="S203" s="150"/>
      <c r="T203" s="139"/>
      <c r="U203" s="139"/>
      <c r="V203" s="139"/>
      <c r="W203" s="139"/>
      <c r="X203" s="150"/>
      <c r="Z203" s="149"/>
      <c r="AA203" s="149"/>
      <c r="AB203" s="149"/>
      <c r="AC203" s="149"/>
      <c r="AD203" s="149"/>
      <c r="AE203" s="149"/>
      <c r="AF203" s="149"/>
      <c r="AG203" s="149"/>
      <c r="AH203" s="149"/>
      <c r="AI203" s="149"/>
      <c r="AJ203" s="149"/>
      <c r="AK203" s="149"/>
      <c r="AL203" s="149"/>
      <c r="AT203" s="149"/>
      <c r="AZ203" s="149"/>
      <c r="BC203" s="139"/>
    </row>
    <row r="204" spans="2:55" s="151" customFormat="1" ht="10" x14ac:dyDescent="0.15">
      <c r="B204" s="139"/>
      <c r="C204" s="139"/>
      <c r="D204" s="139"/>
      <c r="E204" s="150"/>
      <c r="F204" s="139"/>
      <c r="G204" s="145"/>
      <c r="H204" s="139"/>
      <c r="I204" s="146"/>
      <c r="J204" s="175"/>
      <c r="K204" s="146"/>
      <c r="L204" s="148"/>
      <c r="M204" s="146"/>
      <c r="N204" s="148"/>
      <c r="O204" s="146"/>
      <c r="P204" s="146"/>
      <c r="Q204" s="146"/>
      <c r="R204" s="150"/>
      <c r="S204" s="150"/>
      <c r="T204" s="139"/>
      <c r="U204" s="139"/>
      <c r="V204" s="139"/>
      <c r="W204" s="139"/>
      <c r="X204" s="150"/>
      <c r="Z204" s="149"/>
      <c r="AA204" s="149"/>
      <c r="AB204" s="149"/>
      <c r="AC204" s="149"/>
      <c r="AD204" s="149"/>
      <c r="AE204" s="149"/>
      <c r="AF204" s="149"/>
      <c r="AG204" s="149"/>
      <c r="AH204" s="149"/>
      <c r="AI204" s="149"/>
      <c r="AJ204" s="149"/>
      <c r="AK204" s="149"/>
      <c r="AL204" s="149"/>
      <c r="AT204" s="149"/>
      <c r="AZ204" s="149"/>
      <c r="BC204" s="139"/>
    </row>
    <row r="205" spans="2:55" s="151" customFormat="1" ht="10" x14ac:dyDescent="0.15">
      <c r="B205" s="139"/>
      <c r="C205" s="139"/>
      <c r="D205" s="139"/>
      <c r="E205" s="150"/>
      <c r="F205" s="139"/>
      <c r="G205" s="145"/>
      <c r="H205" s="139"/>
      <c r="I205" s="146"/>
      <c r="J205" s="175"/>
      <c r="K205" s="146"/>
      <c r="L205" s="148"/>
      <c r="M205" s="146"/>
      <c r="N205" s="148"/>
      <c r="O205" s="146"/>
      <c r="P205" s="146"/>
      <c r="Q205" s="146"/>
      <c r="R205" s="150"/>
      <c r="S205" s="150"/>
      <c r="T205" s="139"/>
      <c r="U205" s="139"/>
      <c r="V205" s="139"/>
      <c r="W205" s="139"/>
      <c r="X205" s="150"/>
      <c r="Z205" s="149"/>
      <c r="AA205" s="149"/>
      <c r="AB205" s="149"/>
      <c r="AC205" s="149"/>
      <c r="AD205" s="149"/>
      <c r="AE205" s="149"/>
      <c r="AF205" s="149"/>
      <c r="AG205" s="149"/>
      <c r="AH205" s="149"/>
      <c r="AI205" s="149"/>
      <c r="AJ205" s="149"/>
      <c r="AK205" s="149"/>
      <c r="AL205" s="149"/>
      <c r="AT205" s="149"/>
      <c r="AZ205" s="149"/>
      <c r="BC205" s="139"/>
    </row>
    <row r="206" spans="2:55" s="151" customFormat="1" ht="10" x14ac:dyDescent="0.15">
      <c r="B206" s="139"/>
      <c r="C206" s="139"/>
      <c r="D206" s="139"/>
      <c r="E206" s="150"/>
      <c r="F206" s="139"/>
      <c r="G206" s="145"/>
      <c r="H206" s="139"/>
      <c r="I206" s="146"/>
      <c r="J206" s="175"/>
      <c r="K206" s="146"/>
      <c r="L206" s="148"/>
      <c r="M206" s="146"/>
      <c r="N206" s="148"/>
      <c r="O206" s="146"/>
      <c r="P206" s="146"/>
      <c r="Q206" s="146"/>
      <c r="R206" s="150"/>
      <c r="S206" s="150"/>
      <c r="T206" s="139"/>
      <c r="U206" s="139"/>
      <c r="V206" s="139"/>
      <c r="W206" s="139"/>
      <c r="X206" s="150"/>
      <c r="Z206" s="149"/>
      <c r="AA206" s="149"/>
      <c r="AB206" s="149"/>
      <c r="AC206" s="149"/>
      <c r="AD206" s="149"/>
      <c r="AE206" s="149"/>
      <c r="AF206" s="149"/>
      <c r="AG206" s="149"/>
      <c r="AH206" s="149"/>
      <c r="AI206" s="149"/>
      <c r="AJ206" s="149"/>
      <c r="AK206" s="149"/>
      <c r="AL206" s="149"/>
      <c r="AT206" s="149"/>
      <c r="AZ206" s="149"/>
      <c r="BC206" s="139"/>
    </row>
    <row r="207" spans="2:55" s="151" customFormat="1" ht="10" x14ac:dyDescent="0.15">
      <c r="B207" s="139"/>
      <c r="C207" s="139"/>
      <c r="D207" s="139"/>
      <c r="E207" s="150"/>
      <c r="F207" s="139"/>
      <c r="G207" s="145"/>
      <c r="H207" s="139"/>
      <c r="I207" s="146"/>
      <c r="J207" s="175"/>
      <c r="K207" s="146"/>
      <c r="L207" s="148"/>
      <c r="M207" s="146"/>
      <c r="N207" s="148"/>
      <c r="O207" s="146"/>
      <c r="P207" s="146"/>
      <c r="Q207" s="146"/>
      <c r="R207" s="150"/>
      <c r="S207" s="150"/>
      <c r="T207" s="139"/>
      <c r="U207" s="139"/>
      <c r="V207" s="139"/>
      <c r="W207" s="139"/>
      <c r="X207" s="150"/>
      <c r="Z207" s="149"/>
      <c r="AA207" s="149"/>
      <c r="AB207" s="149"/>
      <c r="AC207" s="149"/>
      <c r="AD207" s="149"/>
      <c r="AE207" s="149"/>
      <c r="AF207" s="149"/>
      <c r="AG207" s="149"/>
      <c r="AH207" s="149"/>
      <c r="AI207" s="149"/>
      <c r="AJ207" s="149"/>
      <c r="AK207" s="149"/>
      <c r="AL207" s="149"/>
      <c r="AT207" s="149"/>
      <c r="AZ207" s="149"/>
      <c r="BC207" s="139"/>
    </row>
    <row r="208" spans="2:55" s="151" customFormat="1" ht="10" x14ac:dyDescent="0.15">
      <c r="B208" s="139"/>
      <c r="C208" s="139"/>
      <c r="D208" s="139"/>
      <c r="E208" s="150"/>
      <c r="F208" s="139"/>
      <c r="G208" s="145"/>
      <c r="H208" s="139"/>
      <c r="I208" s="146"/>
      <c r="J208" s="175"/>
      <c r="K208" s="146"/>
      <c r="L208" s="148"/>
      <c r="M208" s="146"/>
      <c r="N208" s="148"/>
      <c r="O208" s="146"/>
      <c r="P208" s="146"/>
      <c r="Q208" s="146"/>
      <c r="R208" s="150"/>
      <c r="S208" s="150"/>
      <c r="T208" s="139"/>
      <c r="U208" s="139"/>
      <c r="V208" s="139"/>
      <c r="W208" s="139"/>
      <c r="X208" s="150"/>
      <c r="Z208" s="149"/>
      <c r="AA208" s="149"/>
      <c r="AB208" s="149"/>
      <c r="AC208" s="149"/>
      <c r="AD208" s="149"/>
      <c r="AE208" s="149"/>
      <c r="AF208" s="149"/>
      <c r="AG208" s="149"/>
      <c r="AH208" s="149"/>
      <c r="AI208" s="149"/>
      <c r="AJ208" s="149"/>
      <c r="AK208" s="149"/>
      <c r="AL208" s="149"/>
      <c r="AT208" s="149"/>
      <c r="AZ208" s="149"/>
      <c r="BC208" s="139"/>
    </row>
    <row r="209" spans="2:55" s="151" customFormat="1" ht="10" x14ac:dyDescent="0.15">
      <c r="B209" s="139"/>
      <c r="C209" s="139"/>
      <c r="D209" s="139"/>
      <c r="E209" s="150"/>
      <c r="F209" s="139"/>
      <c r="G209" s="145"/>
      <c r="H209" s="139"/>
      <c r="I209" s="146"/>
      <c r="J209" s="175"/>
      <c r="K209" s="146"/>
      <c r="L209" s="148"/>
      <c r="M209" s="146"/>
      <c r="N209" s="148"/>
      <c r="O209" s="146"/>
      <c r="P209" s="146"/>
      <c r="Q209" s="146"/>
      <c r="R209" s="150"/>
      <c r="S209" s="150"/>
      <c r="T209" s="139"/>
      <c r="U209" s="139"/>
      <c r="V209" s="139"/>
      <c r="W209" s="139"/>
      <c r="X209" s="150"/>
      <c r="Z209" s="149"/>
      <c r="AA209" s="149"/>
      <c r="AB209" s="149"/>
      <c r="AC209" s="149"/>
      <c r="AD209" s="149"/>
      <c r="AE209" s="149"/>
      <c r="AF209" s="149"/>
      <c r="AG209" s="149"/>
      <c r="AH209" s="149"/>
      <c r="AI209" s="149"/>
      <c r="AJ209" s="149"/>
      <c r="AK209" s="149"/>
      <c r="AL209" s="149"/>
      <c r="AT209" s="149"/>
      <c r="AZ209" s="149"/>
      <c r="BC209" s="139"/>
    </row>
    <row r="210" spans="2:55" s="151" customFormat="1" ht="10" x14ac:dyDescent="0.15">
      <c r="B210" s="139"/>
      <c r="C210" s="139"/>
      <c r="D210" s="139"/>
      <c r="E210" s="150"/>
      <c r="F210" s="139"/>
      <c r="G210" s="145"/>
      <c r="H210" s="139"/>
      <c r="I210" s="146"/>
      <c r="J210" s="175"/>
      <c r="K210" s="146"/>
      <c r="L210" s="148"/>
      <c r="M210" s="146"/>
      <c r="N210" s="148"/>
      <c r="O210" s="146"/>
      <c r="P210" s="146"/>
      <c r="Q210" s="146"/>
      <c r="R210" s="150"/>
      <c r="S210" s="150"/>
      <c r="T210" s="139"/>
      <c r="U210" s="139"/>
      <c r="V210" s="139"/>
      <c r="W210" s="139"/>
      <c r="X210" s="150"/>
      <c r="Z210" s="149"/>
      <c r="AA210" s="149"/>
      <c r="AB210" s="149"/>
      <c r="AC210" s="149"/>
      <c r="AD210" s="149"/>
      <c r="AE210" s="149"/>
      <c r="AF210" s="149"/>
      <c r="AG210" s="149"/>
      <c r="AH210" s="149"/>
      <c r="AI210" s="149"/>
      <c r="AJ210" s="149"/>
      <c r="AK210" s="149"/>
      <c r="AL210" s="149"/>
      <c r="AT210" s="149"/>
      <c r="AZ210" s="149"/>
      <c r="BC210" s="139"/>
    </row>
    <row r="211" spans="2:55" s="151" customFormat="1" ht="10" x14ac:dyDescent="0.15">
      <c r="B211" s="139"/>
      <c r="C211" s="139"/>
      <c r="D211" s="139"/>
      <c r="E211" s="150"/>
      <c r="F211" s="139"/>
      <c r="G211" s="145"/>
      <c r="H211" s="139"/>
      <c r="I211" s="146"/>
      <c r="J211" s="175"/>
      <c r="K211" s="146"/>
      <c r="L211" s="148"/>
      <c r="M211" s="146"/>
      <c r="N211" s="148"/>
      <c r="O211" s="146"/>
      <c r="P211" s="146"/>
      <c r="Q211" s="146"/>
      <c r="R211" s="150"/>
      <c r="S211" s="150"/>
      <c r="T211" s="139"/>
      <c r="U211" s="139"/>
      <c r="V211" s="139"/>
      <c r="W211" s="139"/>
      <c r="X211" s="150"/>
      <c r="Z211" s="149"/>
      <c r="AA211" s="149"/>
      <c r="AB211" s="149"/>
      <c r="AC211" s="149"/>
      <c r="AD211" s="149"/>
      <c r="AE211" s="149"/>
      <c r="AF211" s="149"/>
      <c r="AG211" s="149"/>
      <c r="AH211" s="149"/>
      <c r="AI211" s="149"/>
      <c r="AJ211" s="149"/>
      <c r="AK211" s="149"/>
      <c r="AL211" s="149"/>
      <c r="AT211" s="149"/>
      <c r="AZ211" s="149"/>
      <c r="BC211" s="139"/>
    </row>
    <row r="212" spans="2:55" s="151" customFormat="1" ht="10" x14ac:dyDescent="0.15">
      <c r="B212" s="139"/>
      <c r="C212" s="139"/>
      <c r="D212" s="139"/>
      <c r="E212" s="150"/>
      <c r="F212" s="139"/>
      <c r="G212" s="145"/>
      <c r="H212" s="139"/>
      <c r="I212" s="146"/>
      <c r="J212" s="175"/>
      <c r="K212" s="146"/>
      <c r="L212" s="148"/>
      <c r="M212" s="146"/>
      <c r="N212" s="148"/>
      <c r="O212" s="146"/>
      <c r="P212" s="146"/>
      <c r="Q212" s="146"/>
      <c r="R212" s="150"/>
      <c r="S212" s="150"/>
      <c r="T212" s="139"/>
      <c r="U212" s="139"/>
      <c r="V212" s="139"/>
      <c r="W212" s="139"/>
      <c r="X212" s="150"/>
      <c r="Z212" s="149"/>
      <c r="AA212" s="149"/>
      <c r="AB212" s="149"/>
      <c r="AC212" s="149"/>
      <c r="AD212" s="149"/>
      <c r="AE212" s="149"/>
      <c r="AF212" s="149"/>
      <c r="AG212" s="149"/>
      <c r="AH212" s="149"/>
      <c r="AI212" s="149"/>
      <c r="AJ212" s="149"/>
      <c r="AK212" s="149"/>
      <c r="AL212" s="149"/>
      <c r="AT212" s="149"/>
      <c r="AZ212" s="149"/>
      <c r="BC212" s="139"/>
    </row>
    <row r="213" spans="2:55" s="151" customFormat="1" ht="10" x14ac:dyDescent="0.15">
      <c r="B213" s="139"/>
      <c r="C213" s="139"/>
      <c r="D213" s="139"/>
      <c r="E213" s="150"/>
      <c r="F213" s="139"/>
      <c r="G213" s="145"/>
      <c r="H213" s="139"/>
      <c r="I213" s="146"/>
      <c r="J213" s="175"/>
      <c r="K213" s="146"/>
      <c r="L213" s="148"/>
      <c r="M213" s="146"/>
      <c r="N213" s="148"/>
      <c r="O213" s="146"/>
      <c r="P213" s="146"/>
      <c r="Q213" s="146"/>
      <c r="R213" s="150"/>
      <c r="S213" s="150"/>
      <c r="T213" s="139"/>
      <c r="U213" s="139"/>
      <c r="V213" s="139"/>
      <c r="W213" s="139"/>
      <c r="X213" s="150"/>
      <c r="Z213" s="149"/>
      <c r="AA213" s="149"/>
      <c r="AB213" s="149"/>
      <c r="AC213" s="149"/>
      <c r="AD213" s="149"/>
      <c r="AE213" s="149"/>
      <c r="AF213" s="149"/>
      <c r="AG213" s="149"/>
      <c r="AH213" s="149"/>
      <c r="AI213" s="149"/>
      <c r="AJ213" s="149"/>
      <c r="AK213" s="149"/>
      <c r="AL213" s="149"/>
      <c r="AT213" s="149"/>
      <c r="AZ213" s="149"/>
      <c r="BC213" s="139"/>
    </row>
    <row r="214" spans="2:55" s="151" customFormat="1" ht="10" x14ac:dyDescent="0.15">
      <c r="B214" s="139"/>
      <c r="C214" s="139"/>
      <c r="D214" s="139"/>
      <c r="E214" s="150"/>
      <c r="F214" s="139"/>
      <c r="G214" s="145"/>
      <c r="H214" s="139"/>
      <c r="I214" s="146"/>
      <c r="J214" s="175"/>
      <c r="K214" s="146"/>
      <c r="L214" s="148"/>
      <c r="M214" s="146"/>
      <c r="N214" s="148"/>
      <c r="O214" s="146"/>
      <c r="P214" s="146"/>
      <c r="Q214" s="146"/>
      <c r="R214" s="150"/>
      <c r="S214" s="150"/>
      <c r="T214" s="139"/>
      <c r="U214" s="139"/>
      <c r="V214" s="139"/>
      <c r="W214" s="139"/>
      <c r="X214" s="150"/>
      <c r="Z214" s="149"/>
      <c r="AA214" s="149"/>
      <c r="AB214" s="149"/>
      <c r="AC214" s="149"/>
      <c r="AD214" s="149"/>
      <c r="AE214" s="149"/>
      <c r="AF214" s="149"/>
      <c r="AG214" s="149"/>
      <c r="AH214" s="149"/>
      <c r="AI214" s="149"/>
      <c r="AJ214" s="149"/>
      <c r="AK214" s="149"/>
      <c r="AL214" s="149"/>
      <c r="AT214" s="149"/>
      <c r="AZ214" s="149"/>
      <c r="BC214" s="139"/>
    </row>
    <row r="215" spans="2:55" s="151" customFormat="1" ht="10" x14ac:dyDescent="0.15">
      <c r="B215" s="139"/>
      <c r="C215" s="139"/>
      <c r="D215" s="139"/>
      <c r="E215" s="150"/>
      <c r="F215" s="139"/>
      <c r="G215" s="145"/>
      <c r="H215" s="139"/>
      <c r="I215" s="146"/>
      <c r="J215" s="175"/>
      <c r="K215" s="146"/>
      <c r="L215" s="148"/>
      <c r="M215" s="146"/>
      <c r="N215" s="148"/>
      <c r="O215" s="146"/>
      <c r="P215" s="146"/>
      <c r="Q215" s="146"/>
      <c r="R215" s="150"/>
      <c r="S215" s="150"/>
      <c r="T215" s="139"/>
      <c r="U215" s="139"/>
      <c r="V215" s="139"/>
      <c r="W215" s="139"/>
      <c r="X215" s="150"/>
      <c r="Z215" s="149"/>
      <c r="AA215" s="149"/>
      <c r="AB215" s="149"/>
      <c r="AC215" s="149"/>
      <c r="AD215" s="149"/>
      <c r="AE215" s="149"/>
      <c r="AF215" s="149"/>
      <c r="AG215" s="149"/>
      <c r="AH215" s="149"/>
      <c r="AI215" s="149"/>
      <c r="AJ215" s="149"/>
      <c r="AK215" s="149"/>
      <c r="AL215" s="149"/>
      <c r="AT215" s="149"/>
      <c r="AZ215" s="149"/>
      <c r="BC215" s="139"/>
    </row>
    <row r="216" spans="2:55" s="151" customFormat="1" ht="10" x14ac:dyDescent="0.15">
      <c r="B216" s="139"/>
      <c r="C216" s="139"/>
      <c r="D216" s="139"/>
      <c r="E216" s="150"/>
      <c r="F216" s="139"/>
      <c r="G216" s="145"/>
      <c r="H216" s="139"/>
      <c r="I216" s="146"/>
      <c r="J216" s="175"/>
      <c r="K216" s="146"/>
      <c r="L216" s="148"/>
      <c r="M216" s="146"/>
      <c r="N216" s="148"/>
      <c r="O216" s="146"/>
      <c r="P216" s="146"/>
      <c r="Q216" s="146"/>
      <c r="R216" s="150"/>
      <c r="S216" s="150"/>
      <c r="T216" s="139"/>
      <c r="U216" s="139"/>
      <c r="V216" s="139"/>
      <c r="W216" s="139"/>
      <c r="X216" s="150"/>
      <c r="Z216" s="149"/>
      <c r="AA216" s="149"/>
      <c r="AB216" s="149"/>
      <c r="AC216" s="149"/>
      <c r="AD216" s="149"/>
      <c r="AE216" s="149"/>
      <c r="AF216" s="149"/>
      <c r="AG216" s="149"/>
      <c r="AH216" s="149"/>
      <c r="AI216" s="149"/>
      <c r="AJ216" s="149"/>
      <c r="AK216" s="149"/>
      <c r="AL216" s="149"/>
      <c r="AT216" s="149"/>
      <c r="AZ216" s="149"/>
      <c r="BC216" s="139"/>
    </row>
    <row r="217" spans="2:55" s="151" customFormat="1" ht="10" x14ac:dyDescent="0.15">
      <c r="B217" s="139"/>
      <c r="C217" s="139"/>
      <c r="D217" s="139"/>
      <c r="E217" s="150"/>
      <c r="F217" s="139"/>
      <c r="G217" s="145"/>
      <c r="H217" s="139"/>
      <c r="I217" s="146"/>
      <c r="J217" s="175"/>
      <c r="K217" s="146"/>
      <c r="L217" s="148"/>
      <c r="M217" s="146"/>
      <c r="N217" s="148"/>
      <c r="O217" s="146"/>
      <c r="P217" s="146"/>
      <c r="Q217" s="146"/>
      <c r="R217" s="150"/>
      <c r="S217" s="150"/>
      <c r="T217" s="139"/>
      <c r="U217" s="139"/>
      <c r="V217" s="139"/>
      <c r="W217" s="139"/>
      <c r="X217" s="150"/>
      <c r="Z217" s="149"/>
      <c r="AA217" s="149"/>
      <c r="AB217" s="149"/>
      <c r="AC217" s="149"/>
      <c r="AD217" s="149"/>
      <c r="AE217" s="149"/>
      <c r="AF217" s="149"/>
      <c r="AG217" s="149"/>
      <c r="AH217" s="149"/>
      <c r="AI217" s="149"/>
      <c r="AJ217" s="149"/>
      <c r="AK217" s="149"/>
      <c r="AL217" s="149"/>
      <c r="AT217" s="149"/>
      <c r="AZ217" s="149"/>
      <c r="BC217" s="139"/>
    </row>
    <row r="218" spans="2:55" s="151" customFormat="1" ht="10" x14ac:dyDescent="0.15">
      <c r="B218" s="139"/>
      <c r="C218" s="139"/>
      <c r="D218" s="139"/>
      <c r="E218" s="150"/>
      <c r="F218" s="139"/>
      <c r="G218" s="145"/>
      <c r="H218" s="139"/>
      <c r="I218" s="146"/>
      <c r="J218" s="175"/>
      <c r="K218" s="146"/>
      <c r="L218" s="148"/>
      <c r="M218" s="146"/>
      <c r="N218" s="148"/>
      <c r="O218" s="146"/>
      <c r="P218" s="146"/>
      <c r="Q218" s="146"/>
      <c r="R218" s="150"/>
      <c r="S218" s="150"/>
      <c r="T218" s="139"/>
      <c r="U218" s="139"/>
      <c r="V218" s="139"/>
      <c r="W218" s="139"/>
      <c r="X218" s="150"/>
      <c r="Z218" s="149"/>
      <c r="AA218" s="149"/>
      <c r="AB218" s="149"/>
      <c r="AC218" s="149"/>
      <c r="AD218" s="149"/>
      <c r="AE218" s="149"/>
      <c r="AF218" s="149"/>
      <c r="AG218" s="149"/>
      <c r="AH218" s="149"/>
      <c r="AI218" s="149"/>
      <c r="AJ218" s="149"/>
      <c r="AK218" s="149"/>
      <c r="AL218" s="149"/>
      <c r="AT218" s="149"/>
      <c r="AZ218" s="149"/>
      <c r="BC218" s="139"/>
    </row>
    <row r="219" spans="2:55" s="151" customFormat="1" ht="10" x14ac:dyDescent="0.15">
      <c r="B219" s="139"/>
      <c r="C219" s="139"/>
      <c r="D219" s="139"/>
      <c r="E219" s="150"/>
      <c r="F219" s="139"/>
      <c r="G219" s="145"/>
      <c r="H219" s="139"/>
      <c r="I219" s="146"/>
      <c r="J219" s="175"/>
      <c r="K219" s="146"/>
      <c r="L219" s="148"/>
      <c r="M219" s="146"/>
      <c r="N219" s="148"/>
      <c r="O219" s="146"/>
      <c r="P219" s="146"/>
      <c r="Q219" s="146"/>
      <c r="R219" s="150"/>
      <c r="S219" s="150"/>
      <c r="T219" s="139"/>
      <c r="U219" s="139"/>
      <c r="V219" s="139"/>
      <c r="W219" s="139"/>
      <c r="X219" s="150"/>
      <c r="Z219" s="149"/>
      <c r="AA219" s="149"/>
      <c r="AB219" s="149"/>
      <c r="AC219" s="149"/>
      <c r="AD219" s="149"/>
      <c r="AE219" s="149"/>
      <c r="AF219" s="149"/>
      <c r="AG219" s="149"/>
      <c r="AH219" s="149"/>
      <c r="AI219" s="149"/>
      <c r="AJ219" s="149"/>
      <c r="AK219" s="149"/>
      <c r="AL219" s="149"/>
      <c r="AT219" s="149"/>
      <c r="AZ219" s="149"/>
      <c r="BC219" s="139"/>
    </row>
    <row r="220" spans="2:55" s="151" customFormat="1" ht="10" x14ac:dyDescent="0.15">
      <c r="B220" s="139"/>
      <c r="C220" s="139"/>
      <c r="D220" s="139"/>
      <c r="E220" s="150"/>
      <c r="F220" s="139"/>
      <c r="G220" s="145"/>
      <c r="H220" s="139"/>
      <c r="I220" s="146"/>
      <c r="J220" s="175"/>
      <c r="K220" s="146"/>
      <c r="L220" s="148"/>
      <c r="M220" s="146"/>
      <c r="N220" s="148"/>
      <c r="O220" s="146"/>
      <c r="P220" s="146"/>
      <c r="Q220" s="146"/>
      <c r="R220" s="150"/>
      <c r="S220" s="150"/>
      <c r="T220" s="139"/>
      <c r="U220" s="139"/>
      <c r="V220" s="139"/>
      <c r="W220" s="139"/>
      <c r="X220" s="150"/>
      <c r="Z220" s="149"/>
      <c r="AA220" s="149"/>
      <c r="AB220" s="149"/>
      <c r="AC220" s="149"/>
      <c r="AD220" s="149"/>
      <c r="AE220" s="149"/>
      <c r="AF220" s="149"/>
      <c r="AG220" s="149"/>
      <c r="AH220" s="149"/>
      <c r="AI220" s="149"/>
      <c r="AJ220" s="149"/>
      <c r="AK220" s="149"/>
      <c r="AL220" s="149"/>
      <c r="AT220" s="149"/>
      <c r="AZ220" s="149"/>
      <c r="BC220" s="139"/>
    </row>
    <row r="221" spans="2:55" s="151" customFormat="1" ht="10" x14ac:dyDescent="0.15">
      <c r="B221" s="139"/>
      <c r="C221" s="139"/>
      <c r="D221" s="139"/>
      <c r="E221" s="150"/>
      <c r="F221" s="139"/>
      <c r="G221" s="145"/>
      <c r="H221" s="139"/>
      <c r="I221" s="146"/>
      <c r="J221" s="175"/>
      <c r="K221" s="146"/>
      <c r="L221" s="148"/>
      <c r="M221" s="146"/>
      <c r="N221" s="148"/>
      <c r="O221" s="146"/>
      <c r="P221" s="146"/>
      <c r="Q221" s="146"/>
      <c r="R221" s="150"/>
      <c r="S221" s="150"/>
      <c r="T221" s="139"/>
      <c r="U221" s="139"/>
      <c r="V221" s="139"/>
      <c r="W221" s="139"/>
      <c r="X221" s="150"/>
      <c r="Z221" s="149"/>
      <c r="AA221" s="149"/>
      <c r="AB221" s="149"/>
      <c r="AC221" s="149"/>
      <c r="AD221" s="149"/>
      <c r="AE221" s="149"/>
      <c r="AF221" s="149"/>
      <c r="AG221" s="149"/>
      <c r="AH221" s="149"/>
      <c r="AI221" s="149"/>
      <c r="AJ221" s="149"/>
      <c r="AK221" s="149"/>
      <c r="AL221" s="149"/>
      <c r="AT221" s="149"/>
      <c r="AZ221" s="149"/>
      <c r="BC221" s="139"/>
    </row>
    <row r="222" spans="2:55" s="151" customFormat="1" ht="10" x14ac:dyDescent="0.15">
      <c r="B222" s="139"/>
      <c r="C222" s="139"/>
      <c r="D222" s="139"/>
      <c r="E222" s="150"/>
      <c r="F222" s="139"/>
      <c r="G222" s="145"/>
      <c r="H222" s="139"/>
      <c r="I222" s="146"/>
      <c r="J222" s="175"/>
      <c r="K222" s="146"/>
      <c r="L222" s="148"/>
      <c r="M222" s="146"/>
      <c r="N222" s="148"/>
      <c r="O222" s="146"/>
      <c r="P222" s="146"/>
      <c r="Q222" s="146"/>
      <c r="R222" s="150"/>
      <c r="S222" s="150"/>
      <c r="T222" s="139"/>
      <c r="U222" s="139"/>
      <c r="V222" s="139"/>
      <c r="W222" s="139"/>
      <c r="X222" s="150"/>
      <c r="Z222" s="149"/>
      <c r="AA222" s="149"/>
      <c r="AB222" s="149"/>
      <c r="AC222" s="149"/>
      <c r="AD222" s="149"/>
      <c r="AE222" s="149"/>
      <c r="AF222" s="149"/>
      <c r="AG222" s="149"/>
      <c r="AH222" s="149"/>
      <c r="AI222" s="149"/>
      <c r="AJ222" s="149"/>
      <c r="AK222" s="149"/>
      <c r="AL222" s="149"/>
      <c r="AT222" s="149"/>
      <c r="AZ222" s="149"/>
      <c r="BC222" s="139"/>
    </row>
    <row r="223" spans="2:55" s="151" customFormat="1" ht="10" x14ac:dyDescent="0.15">
      <c r="B223" s="139"/>
      <c r="C223" s="139"/>
      <c r="D223" s="139"/>
      <c r="E223" s="150"/>
      <c r="F223" s="139"/>
      <c r="G223" s="145"/>
      <c r="H223" s="139"/>
      <c r="I223" s="146"/>
      <c r="J223" s="175"/>
      <c r="K223" s="146"/>
      <c r="L223" s="148"/>
      <c r="M223" s="146"/>
      <c r="N223" s="148"/>
      <c r="O223" s="146"/>
      <c r="P223" s="146"/>
      <c r="Q223" s="146"/>
      <c r="R223" s="150"/>
      <c r="S223" s="150"/>
      <c r="T223" s="139"/>
      <c r="U223" s="139"/>
      <c r="V223" s="139"/>
      <c r="W223" s="139"/>
      <c r="X223" s="150"/>
      <c r="Z223" s="149"/>
      <c r="AA223" s="149"/>
      <c r="AB223" s="149"/>
      <c r="AC223" s="149"/>
      <c r="AD223" s="149"/>
      <c r="AE223" s="149"/>
      <c r="AF223" s="149"/>
      <c r="AG223" s="149"/>
      <c r="AH223" s="149"/>
      <c r="AI223" s="149"/>
      <c r="AJ223" s="149"/>
      <c r="AK223" s="149"/>
      <c r="AL223" s="149"/>
      <c r="AT223" s="149"/>
      <c r="AZ223" s="149"/>
      <c r="BC223" s="139"/>
    </row>
    <row r="224" spans="2:55" s="151" customFormat="1" ht="10" x14ac:dyDescent="0.15">
      <c r="B224" s="139"/>
      <c r="C224" s="139"/>
      <c r="D224" s="139"/>
      <c r="E224" s="150"/>
      <c r="F224" s="139"/>
      <c r="G224" s="145"/>
      <c r="H224" s="139"/>
      <c r="I224" s="146"/>
      <c r="J224" s="175"/>
      <c r="K224" s="146"/>
      <c r="L224" s="148"/>
      <c r="M224" s="146"/>
      <c r="N224" s="148"/>
      <c r="O224" s="146"/>
      <c r="P224" s="146"/>
      <c r="Q224" s="146"/>
      <c r="R224" s="150"/>
      <c r="S224" s="150"/>
      <c r="T224" s="139"/>
      <c r="U224" s="139"/>
      <c r="V224" s="139"/>
      <c r="W224" s="139"/>
      <c r="X224" s="150"/>
      <c r="Z224" s="149"/>
      <c r="AA224" s="149"/>
      <c r="AB224" s="149"/>
      <c r="AC224" s="149"/>
      <c r="AD224" s="149"/>
      <c r="AE224" s="149"/>
      <c r="AF224" s="149"/>
      <c r="AG224" s="149"/>
      <c r="AH224" s="149"/>
      <c r="AI224" s="149"/>
      <c r="AJ224" s="149"/>
      <c r="AK224" s="149"/>
      <c r="AL224" s="149"/>
      <c r="AT224" s="149"/>
      <c r="AZ224" s="149"/>
      <c r="BC224" s="139"/>
    </row>
    <row r="225" spans="2:55" s="151" customFormat="1" ht="10" x14ac:dyDescent="0.15">
      <c r="B225" s="139"/>
      <c r="C225" s="139"/>
      <c r="D225" s="139"/>
      <c r="E225" s="150"/>
      <c r="F225" s="139"/>
      <c r="G225" s="145"/>
      <c r="H225" s="139"/>
      <c r="I225" s="146"/>
      <c r="J225" s="175"/>
      <c r="K225" s="146"/>
      <c r="L225" s="148"/>
      <c r="M225" s="146"/>
      <c r="N225" s="148"/>
      <c r="O225" s="146"/>
      <c r="P225" s="146"/>
      <c r="Q225" s="146"/>
      <c r="R225" s="150"/>
      <c r="S225" s="150"/>
      <c r="T225" s="139"/>
      <c r="U225" s="139"/>
      <c r="V225" s="139"/>
      <c r="W225" s="139"/>
      <c r="X225" s="150"/>
      <c r="Z225" s="149"/>
      <c r="AA225" s="149"/>
      <c r="AB225" s="149"/>
      <c r="AC225" s="149"/>
      <c r="AD225" s="149"/>
      <c r="AE225" s="149"/>
      <c r="AF225" s="149"/>
      <c r="AG225" s="149"/>
      <c r="AH225" s="149"/>
      <c r="AI225" s="149"/>
      <c r="AJ225" s="149"/>
      <c r="AK225" s="149"/>
      <c r="AL225" s="149"/>
      <c r="AT225" s="149"/>
      <c r="AZ225" s="149"/>
      <c r="BC225" s="139"/>
    </row>
    <row r="226" spans="2:55" s="151" customFormat="1" ht="10" x14ac:dyDescent="0.15">
      <c r="B226" s="139"/>
      <c r="C226" s="139"/>
      <c r="D226" s="139"/>
      <c r="E226" s="150"/>
      <c r="F226" s="139"/>
      <c r="G226" s="145"/>
      <c r="H226" s="139"/>
      <c r="I226" s="146"/>
      <c r="J226" s="175"/>
      <c r="K226" s="146"/>
      <c r="L226" s="148"/>
      <c r="M226" s="146"/>
      <c r="N226" s="148"/>
      <c r="O226" s="146"/>
      <c r="P226" s="146"/>
      <c r="Q226" s="146"/>
      <c r="R226" s="150"/>
      <c r="S226" s="150"/>
      <c r="T226" s="139"/>
      <c r="U226" s="139"/>
      <c r="V226" s="139"/>
      <c r="W226" s="139"/>
      <c r="X226" s="150"/>
      <c r="Z226" s="149"/>
      <c r="AA226" s="149"/>
      <c r="AB226" s="149"/>
      <c r="AC226" s="149"/>
      <c r="AD226" s="149"/>
      <c r="AE226" s="149"/>
      <c r="AF226" s="149"/>
      <c r="AG226" s="149"/>
      <c r="AH226" s="149"/>
      <c r="AI226" s="149"/>
      <c r="AJ226" s="149"/>
      <c r="AK226" s="149"/>
      <c r="AL226" s="149"/>
      <c r="AT226" s="149"/>
      <c r="AZ226" s="149"/>
      <c r="BC226" s="139"/>
    </row>
    <row r="227" spans="2:55" s="151" customFormat="1" ht="10" x14ac:dyDescent="0.15">
      <c r="B227" s="139"/>
      <c r="C227" s="139"/>
      <c r="D227" s="139"/>
      <c r="E227" s="150"/>
      <c r="F227" s="139"/>
      <c r="G227" s="145"/>
      <c r="H227" s="139"/>
      <c r="I227" s="146"/>
      <c r="J227" s="175"/>
      <c r="K227" s="146"/>
      <c r="L227" s="148"/>
      <c r="M227" s="146"/>
      <c r="N227" s="148"/>
      <c r="O227" s="146"/>
      <c r="P227" s="146"/>
      <c r="Q227" s="146"/>
      <c r="R227" s="150"/>
      <c r="S227" s="150"/>
      <c r="T227" s="139"/>
      <c r="U227" s="139"/>
      <c r="V227" s="139"/>
      <c r="W227" s="139"/>
      <c r="X227" s="150"/>
      <c r="Z227" s="149"/>
      <c r="AA227" s="149"/>
      <c r="AB227" s="149"/>
      <c r="AC227" s="149"/>
      <c r="AD227" s="149"/>
      <c r="AE227" s="149"/>
      <c r="AF227" s="149"/>
      <c r="AG227" s="149"/>
      <c r="AH227" s="149"/>
      <c r="AI227" s="149"/>
      <c r="AJ227" s="149"/>
      <c r="AK227" s="149"/>
      <c r="AL227" s="149"/>
      <c r="AT227" s="149"/>
      <c r="AZ227" s="149"/>
      <c r="BC227" s="139"/>
    </row>
    <row r="228" spans="2:55" s="151" customFormat="1" ht="10" x14ac:dyDescent="0.15">
      <c r="B228" s="139"/>
      <c r="C228" s="139"/>
      <c r="D228" s="139"/>
      <c r="E228" s="150"/>
      <c r="F228" s="139"/>
      <c r="G228" s="145"/>
      <c r="H228" s="139"/>
      <c r="I228" s="146"/>
      <c r="J228" s="175"/>
      <c r="K228" s="146"/>
      <c r="L228" s="148"/>
      <c r="M228" s="146"/>
      <c r="N228" s="148"/>
      <c r="O228" s="146"/>
      <c r="P228" s="146"/>
      <c r="Q228" s="146"/>
      <c r="R228" s="150"/>
      <c r="S228" s="150"/>
      <c r="T228" s="139"/>
      <c r="U228" s="139"/>
      <c r="V228" s="139"/>
      <c r="W228" s="139"/>
      <c r="X228" s="150"/>
      <c r="Z228" s="149"/>
      <c r="AA228" s="149"/>
      <c r="AB228" s="149"/>
      <c r="AC228" s="149"/>
      <c r="AD228" s="149"/>
      <c r="AE228" s="149"/>
      <c r="AF228" s="149"/>
      <c r="AG228" s="149"/>
      <c r="AH228" s="149"/>
      <c r="AI228" s="149"/>
      <c r="AJ228" s="149"/>
      <c r="AK228" s="149"/>
      <c r="AL228" s="149"/>
      <c r="AT228" s="149"/>
      <c r="AZ228" s="149"/>
      <c r="BC228" s="139"/>
    </row>
    <row r="229" spans="2:55" s="151" customFormat="1" ht="10" x14ac:dyDescent="0.15">
      <c r="B229" s="139"/>
      <c r="C229" s="139"/>
      <c r="D229" s="139"/>
      <c r="E229" s="150"/>
      <c r="F229" s="139"/>
      <c r="G229" s="145"/>
      <c r="H229" s="139"/>
      <c r="I229" s="146"/>
      <c r="J229" s="175"/>
      <c r="K229" s="146"/>
      <c r="L229" s="148"/>
      <c r="M229" s="146"/>
      <c r="N229" s="148"/>
      <c r="O229" s="146"/>
      <c r="P229" s="146"/>
      <c r="Q229" s="146"/>
      <c r="R229" s="150"/>
      <c r="S229" s="150"/>
      <c r="T229" s="139"/>
      <c r="U229" s="139"/>
      <c r="V229" s="139"/>
      <c r="W229" s="139"/>
      <c r="X229" s="150"/>
      <c r="Z229" s="149"/>
      <c r="AA229" s="149"/>
      <c r="AB229" s="149"/>
      <c r="AC229" s="149"/>
      <c r="AD229" s="149"/>
      <c r="AE229" s="149"/>
      <c r="AF229" s="149"/>
      <c r="AG229" s="149"/>
      <c r="AH229" s="149"/>
      <c r="AI229" s="149"/>
      <c r="AJ229" s="149"/>
      <c r="AK229" s="149"/>
      <c r="AL229" s="149"/>
      <c r="AT229" s="149"/>
      <c r="AZ229" s="149"/>
      <c r="BC229" s="139"/>
    </row>
    <row r="230" spans="2:55" s="151" customFormat="1" ht="10" x14ac:dyDescent="0.15">
      <c r="B230" s="139"/>
      <c r="C230" s="139"/>
      <c r="D230" s="139"/>
      <c r="E230" s="150"/>
      <c r="F230" s="139"/>
      <c r="G230" s="145"/>
      <c r="H230" s="139"/>
      <c r="I230" s="146"/>
      <c r="J230" s="175"/>
      <c r="K230" s="146"/>
      <c r="L230" s="148"/>
      <c r="M230" s="146"/>
      <c r="N230" s="148"/>
      <c r="O230" s="146"/>
      <c r="P230" s="146"/>
      <c r="Q230" s="146"/>
      <c r="R230" s="150"/>
      <c r="S230" s="150"/>
      <c r="T230" s="139"/>
      <c r="U230" s="139"/>
      <c r="V230" s="139"/>
      <c r="W230" s="139"/>
      <c r="X230" s="150"/>
      <c r="Z230" s="149"/>
      <c r="AA230" s="149"/>
      <c r="AB230" s="149"/>
      <c r="AC230" s="149"/>
      <c r="AD230" s="149"/>
      <c r="AE230" s="149"/>
      <c r="AF230" s="149"/>
      <c r="AG230" s="149"/>
      <c r="AH230" s="149"/>
      <c r="AI230" s="149"/>
      <c r="AJ230" s="149"/>
      <c r="AK230" s="149"/>
      <c r="AL230" s="149"/>
      <c r="AT230" s="149"/>
      <c r="AZ230" s="149"/>
      <c r="BC230" s="139"/>
    </row>
    <row r="231" spans="2:55" s="151" customFormat="1" ht="10" x14ac:dyDescent="0.15">
      <c r="B231" s="139"/>
      <c r="C231" s="139"/>
      <c r="D231" s="139"/>
      <c r="E231" s="150"/>
      <c r="F231" s="139"/>
      <c r="G231" s="145"/>
      <c r="H231" s="139"/>
      <c r="I231" s="146"/>
      <c r="J231" s="175"/>
      <c r="K231" s="146"/>
      <c r="L231" s="148"/>
      <c r="M231" s="146"/>
      <c r="N231" s="148"/>
      <c r="O231" s="146"/>
      <c r="P231" s="146"/>
      <c r="Q231" s="146"/>
      <c r="R231" s="150"/>
      <c r="S231" s="150"/>
      <c r="T231" s="139"/>
      <c r="U231" s="139"/>
      <c r="V231" s="139"/>
      <c r="W231" s="139"/>
      <c r="X231" s="150"/>
      <c r="Z231" s="149"/>
      <c r="AA231" s="149"/>
      <c r="AB231" s="149"/>
      <c r="AC231" s="149"/>
      <c r="AD231" s="149"/>
      <c r="AE231" s="149"/>
      <c r="AF231" s="149"/>
      <c r="AG231" s="149"/>
      <c r="AH231" s="149"/>
      <c r="AI231" s="149"/>
      <c r="AJ231" s="149"/>
      <c r="AK231" s="149"/>
      <c r="AL231" s="149"/>
      <c r="AT231" s="149"/>
      <c r="AZ231" s="149"/>
      <c r="BC231" s="139"/>
    </row>
    <row r="232" spans="2:55" s="151" customFormat="1" ht="10" x14ac:dyDescent="0.15">
      <c r="B232" s="139"/>
      <c r="C232" s="139"/>
      <c r="D232" s="139"/>
      <c r="E232" s="150"/>
      <c r="F232" s="139"/>
      <c r="G232" s="145"/>
      <c r="H232" s="139"/>
      <c r="I232" s="146"/>
      <c r="J232" s="175"/>
      <c r="K232" s="146"/>
      <c r="L232" s="148"/>
      <c r="M232" s="146"/>
      <c r="N232" s="148"/>
      <c r="O232" s="146"/>
      <c r="P232" s="146"/>
      <c r="Q232" s="146"/>
      <c r="R232" s="150"/>
      <c r="S232" s="150"/>
      <c r="T232" s="139"/>
      <c r="U232" s="139"/>
      <c r="V232" s="139"/>
      <c r="W232" s="139"/>
      <c r="X232" s="150"/>
      <c r="Z232" s="149"/>
      <c r="AA232" s="149"/>
      <c r="AB232" s="149"/>
      <c r="AC232" s="149"/>
      <c r="AD232" s="149"/>
      <c r="AE232" s="149"/>
      <c r="AF232" s="149"/>
      <c r="AG232" s="149"/>
      <c r="AH232" s="149"/>
      <c r="AI232" s="149"/>
      <c r="AJ232" s="149"/>
      <c r="AK232" s="149"/>
      <c r="AL232" s="149"/>
      <c r="AT232" s="149"/>
      <c r="AZ232" s="149"/>
      <c r="BC232" s="139"/>
    </row>
    <row r="233" spans="2:55" s="151" customFormat="1" ht="10" x14ac:dyDescent="0.15">
      <c r="B233" s="139"/>
      <c r="C233" s="139"/>
      <c r="D233" s="139"/>
      <c r="E233" s="150"/>
      <c r="F233" s="139"/>
      <c r="G233" s="145"/>
      <c r="H233" s="139"/>
      <c r="I233" s="146"/>
      <c r="J233" s="175"/>
      <c r="K233" s="146"/>
      <c r="L233" s="148"/>
      <c r="M233" s="146"/>
      <c r="N233" s="148"/>
      <c r="O233" s="146"/>
      <c r="P233" s="146"/>
      <c r="Q233" s="146"/>
      <c r="R233" s="150"/>
      <c r="S233" s="150"/>
      <c r="T233" s="139"/>
      <c r="U233" s="139"/>
      <c r="V233" s="139"/>
      <c r="W233" s="139"/>
      <c r="X233" s="150"/>
      <c r="Z233" s="149"/>
      <c r="AA233" s="149"/>
      <c r="AB233" s="149"/>
      <c r="AC233" s="149"/>
      <c r="AD233" s="149"/>
      <c r="AE233" s="149"/>
      <c r="AF233" s="149"/>
      <c r="AG233" s="149"/>
      <c r="AH233" s="149"/>
      <c r="AI233" s="149"/>
      <c r="AJ233" s="149"/>
      <c r="AK233" s="149"/>
      <c r="AL233" s="149"/>
      <c r="AT233" s="149"/>
      <c r="AZ233" s="149"/>
      <c r="BC233" s="139"/>
    </row>
    <row r="234" spans="2:55" s="151" customFormat="1" ht="10" x14ac:dyDescent="0.15">
      <c r="B234" s="139"/>
      <c r="C234" s="139"/>
      <c r="D234" s="139"/>
      <c r="E234" s="150"/>
      <c r="F234" s="139"/>
      <c r="G234" s="145"/>
      <c r="H234" s="139"/>
      <c r="I234" s="146"/>
      <c r="J234" s="175"/>
      <c r="K234" s="146"/>
      <c r="L234" s="148"/>
      <c r="M234" s="146"/>
      <c r="N234" s="148"/>
      <c r="O234" s="146"/>
      <c r="P234" s="146"/>
      <c r="Q234" s="146"/>
      <c r="R234" s="150"/>
      <c r="S234" s="150"/>
      <c r="T234" s="139"/>
      <c r="U234" s="139"/>
      <c r="V234" s="139"/>
      <c r="W234" s="139"/>
      <c r="X234" s="150"/>
      <c r="Z234" s="149"/>
      <c r="AA234" s="149"/>
      <c r="AB234" s="149"/>
      <c r="AC234" s="149"/>
      <c r="AD234" s="149"/>
      <c r="AE234" s="149"/>
      <c r="AF234" s="149"/>
      <c r="AG234" s="149"/>
      <c r="AH234" s="149"/>
      <c r="AI234" s="149"/>
      <c r="AJ234" s="149"/>
      <c r="AK234" s="149"/>
      <c r="AL234" s="149"/>
      <c r="AT234" s="149"/>
      <c r="AZ234" s="149"/>
      <c r="BC234" s="139"/>
    </row>
    <row r="235" spans="2:55" s="151" customFormat="1" ht="10" x14ac:dyDescent="0.15">
      <c r="B235" s="139"/>
      <c r="C235" s="139"/>
      <c r="D235" s="139"/>
      <c r="E235" s="150"/>
      <c r="F235" s="139"/>
      <c r="G235" s="145"/>
      <c r="H235" s="139"/>
      <c r="I235" s="146"/>
      <c r="J235" s="175"/>
      <c r="K235" s="146"/>
      <c r="L235" s="148"/>
      <c r="M235" s="146"/>
      <c r="N235" s="148"/>
      <c r="O235" s="146"/>
      <c r="P235" s="146"/>
      <c r="Q235" s="146"/>
      <c r="R235" s="150"/>
      <c r="S235" s="150"/>
      <c r="T235" s="139"/>
      <c r="U235" s="139"/>
      <c r="V235" s="139"/>
      <c r="W235" s="139"/>
      <c r="X235" s="150"/>
      <c r="Z235" s="149"/>
      <c r="AA235" s="149"/>
      <c r="AB235" s="149"/>
      <c r="AC235" s="149"/>
      <c r="AD235" s="149"/>
      <c r="AE235" s="149"/>
      <c r="AF235" s="149"/>
      <c r="AG235" s="149"/>
      <c r="AH235" s="149"/>
      <c r="AI235" s="149"/>
      <c r="AJ235" s="149"/>
      <c r="AK235" s="149"/>
      <c r="AL235" s="149"/>
      <c r="AT235" s="149"/>
      <c r="AZ235" s="149"/>
      <c r="BC235" s="139"/>
    </row>
    <row r="236" spans="2:55" s="151" customFormat="1" ht="10" x14ac:dyDescent="0.15">
      <c r="B236" s="139"/>
      <c r="C236" s="139"/>
      <c r="D236" s="139"/>
      <c r="E236" s="150"/>
      <c r="F236" s="139"/>
      <c r="G236" s="145"/>
      <c r="H236" s="139"/>
      <c r="I236" s="146"/>
      <c r="J236" s="175"/>
      <c r="K236" s="146"/>
      <c r="L236" s="148"/>
      <c r="M236" s="146"/>
      <c r="N236" s="148"/>
      <c r="O236" s="146"/>
      <c r="P236" s="146"/>
      <c r="Q236" s="146"/>
      <c r="R236" s="150"/>
      <c r="S236" s="150"/>
      <c r="T236" s="139"/>
      <c r="U236" s="139"/>
      <c r="V236" s="139"/>
      <c r="W236" s="139"/>
      <c r="X236" s="150"/>
      <c r="Z236" s="149"/>
      <c r="AA236" s="149"/>
      <c r="AB236" s="149"/>
      <c r="AC236" s="149"/>
      <c r="AD236" s="149"/>
      <c r="AE236" s="149"/>
      <c r="AF236" s="149"/>
      <c r="AG236" s="149"/>
      <c r="AH236" s="149"/>
      <c r="AI236" s="149"/>
      <c r="AJ236" s="149"/>
      <c r="AK236" s="149"/>
      <c r="AL236" s="149"/>
      <c r="AT236" s="149"/>
      <c r="AZ236" s="149"/>
      <c r="BC236" s="139"/>
    </row>
    <row r="237" spans="2:55" s="151" customFormat="1" ht="10" x14ac:dyDescent="0.15">
      <c r="B237" s="139"/>
      <c r="C237" s="139"/>
      <c r="D237" s="139"/>
      <c r="E237" s="150"/>
      <c r="F237" s="139"/>
      <c r="G237" s="145"/>
      <c r="H237" s="139"/>
      <c r="I237" s="146"/>
      <c r="J237" s="175"/>
      <c r="K237" s="146"/>
      <c r="L237" s="148"/>
      <c r="M237" s="146"/>
      <c r="N237" s="148"/>
      <c r="O237" s="146"/>
      <c r="P237" s="146"/>
      <c r="Q237" s="146"/>
      <c r="R237" s="150"/>
      <c r="S237" s="150"/>
      <c r="T237" s="139"/>
      <c r="U237" s="139"/>
      <c r="V237" s="139"/>
      <c r="W237" s="139"/>
      <c r="X237" s="150"/>
      <c r="Z237" s="149"/>
      <c r="AA237" s="149"/>
      <c r="AB237" s="149"/>
      <c r="AC237" s="149"/>
      <c r="AD237" s="149"/>
      <c r="AE237" s="149"/>
      <c r="AF237" s="149"/>
      <c r="AG237" s="149"/>
      <c r="AH237" s="149"/>
      <c r="AI237" s="149"/>
      <c r="AJ237" s="149"/>
      <c r="AK237" s="149"/>
      <c r="AL237" s="149"/>
      <c r="AT237" s="149"/>
      <c r="AZ237" s="149"/>
      <c r="BC237" s="139"/>
    </row>
    <row r="238" spans="2:55" s="151" customFormat="1" ht="10" x14ac:dyDescent="0.15">
      <c r="B238" s="139"/>
      <c r="C238" s="139"/>
      <c r="D238" s="139"/>
      <c r="E238" s="150"/>
      <c r="F238" s="139"/>
      <c r="G238" s="145"/>
      <c r="H238" s="139"/>
      <c r="I238" s="146"/>
      <c r="J238" s="175"/>
      <c r="K238" s="146"/>
      <c r="L238" s="148"/>
      <c r="M238" s="146"/>
      <c r="N238" s="148"/>
      <c r="O238" s="146"/>
      <c r="P238" s="146"/>
      <c r="Q238" s="146"/>
      <c r="R238" s="150"/>
      <c r="S238" s="150"/>
      <c r="T238" s="139"/>
      <c r="U238" s="139"/>
      <c r="V238" s="139"/>
      <c r="W238" s="139"/>
      <c r="X238" s="150"/>
      <c r="Z238" s="149"/>
      <c r="AA238" s="149"/>
      <c r="AB238" s="149"/>
      <c r="AC238" s="149"/>
      <c r="AD238" s="149"/>
      <c r="AE238" s="149"/>
      <c r="AF238" s="149"/>
      <c r="AG238" s="149"/>
      <c r="AH238" s="149"/>
      <c r="AI238" s="149"/>
      <c r="AJ238" s="149"/>
      <c r="AK238" s="149"/>
      <c r="AL238" s="149"/>
      <c r="AT238" s="149"/>
      <c r="AZ238" s="149"/>
      <c r="BC238" s="139"/>
    </row>
    <row r="239" spans="2:55" s="151" customFormat="1" ht="10" x14ac:dyDescent="0.15">
      <c r="B239" s="139"/>
      <c r="C239" s="139"/>
      <c r="D239" s="139"/>
      <c r="E239" s="150"/>
      <c r="F239" s="139"/>
      <c r="G239" s="145"/>
      <c r="H239" s="139"/>
      <c r="I239" s="146"/>
      <c r="J239" s="175"/>
      <c r="K239" s="146"/>
      <c r="L239" s="148"/>
      <c r="M239" s="146"/>
      <c r="N239" s="148"/>
      <c r="O239" s="146"/>
      <c r="P239" s="146"/>
      <c r="Q239" s="146"/>
      <c r="R239" s="150"/>
      <c r="S239" s="150"/>
      <c r="T239" s="139"/>
      <c r="U239" s="139"/>
      <c r="V239" s="139"/>
      <c r="W239" s="139"/>
      <c r="X239" s="150"/>
      <c r="Z239" s="149"/>
      <c r="AA239" s="149"/>
      <c r="AB239" s="149"/>
      <c r="AC239" s="149"/>
      <c r="AD239" s="149"/>
      <c r="AE239" s="149"/>
      <c r="AF239" s="149"/>
      <c r="AG239" s="149"/>
      <c r="AH239" s="149"/>
      <c r="AI239" s="149"/>
      <c r="AJ239" s="149"/>
      <c r="AK239" s="149"/>
      <c r="AL239" s="149"/>
      <c r="AT239" s="149"/>
      <c r="AZ239" s="149"/>
      <c r="BC239" s="139"/>
    </row>
    <row r="240" spans="2:55" s="151" customFormat="1" ht="10" x14ac:dyDescent="0.15">
      <c r="B240" s="139"/>
      <c r="C240" s="139"/>
      <c r="D240" s="139"/>
      <c r="E240" s="150"/>
      <c r="F240" s="139"/>
      <c r="G240" s="145"/>
      <c r="H240" s="139"/>
      <c r="I240" s="146"/>
      <c r="J240" s="175"/>
      <c r="K240" s="146"/>
      <c r="L240" s="148"/>
      <c r="M240" s="146"/>
      <c r="N240" s="148"/>
      <c r="O240" s="146"/>
      <c r="P240" s="146"/>
      <c r="Q240" s="146"/>
      <c r="R240" s="150"/>
      <c r="S240" s="150"/>
      <c r="T240" s="139"/>
      <c r="U240" s="139"/>
      <c r="V240" s="139"/>
      <c r="W240" s="139"/>
      <c r="X240" s="150"/>
      <c r="Z240" s="149"/>
      <c r="AA240" s="149"/>
      <c r="AB240" s="149"/>
      <c r="AC240" s="149"/>
      <c r="AD240" s="149"/>
      <c r="AE240" s="149"/>
      <c r="AF240" s="149"/>
      <c r="AG240" s="149"/>
      <c r="AH240" s="149"/>
      <c r="AI240" s="149"/>
      <c r="AJ240" s="149"/>
      <c r="AK240" s="149"/>
      <c r="AL240" s="149"/>
      <c r="AT240" s="149"/>
      <c r="AZ240" s="149"/>
      <c r="BC240" s="139"/>
    </row>
    <row r="241" spans="2:55" s="151" customFormat="1" ht="10" x14ac:dyDescent="0.15">
      <c r="B241" s="139"/>
      <c r="C241" s="139"/>
      <c r="D241" s="139"/>
      <c r="E241" s="150"/>
      <c r="F241" s="139"/>
      <c r="G241" s="145"/>
      <c r="H241" s="139"/>
      <c r="I241" s="146"/>
      <c r="J241" s="175"/>
      <c r="K241" s="146"/>
      <c r="L241" s="148"/>
      <c r="M241" s="146"/>
      <c r="N241" s="148"/>
      <c r="O241" s="146"/>
      <c r="P241" s="146"/>
      <c r="Q241" s="146"/>
      <c r="R241" s="150"/>
      <c r="S241" s="150"/>
      <c r="T241" s="139"/>
      <c r="U241" s="139"/>
      <c r="V241" s="139"/>
      <c r="W241" s="139"/>
      <c r="X241" s="150"/>
      <c r="Z241" s="149"/>
      <c r="AA241" s="149"/>
      <c r="AB241" s="149"/>
      <c r="AC241" s="149"/>
      <c r="AD241" s="149"/>
      <c r="AE241" s="149"/>
      <c r="AF241" s="149"/>
      <c r="AG241" s="149"/>
      <c r="AH241" s="149"/>
      <c r="AI241" s="149"/>
      <c r="AJ241" s="149"/>
      <c r="AK241" s="149"/>
      <c r="AL241" s="149"/>
      <c r="AT241" s="149"/>
      <c r="AZ241" s="149"/>
      <c r="BC241" s="139"/>
    </row>
    <row r="242" spans="2:55" s="151" customFormat="1" ht="10" x14ac:dyDescent="0.15">
      <c r="B242" s="139"/>
      <c r="C242" s="139"/>
      <c r="D242" s="139"/>
      <c r="E242" s="150"/>
      <c r="F242" s="139"/>
      <c r="G242" s="145"/>
      <c r="H242" s="139"/>
      <c r="I242" s="146"/>
      <c r="J242" s="175"/>
      <c r="K242" s="146"/>
      <c r="L242" s="148"/>
      <c r="M242" s="146"/>
      <c r="N242" s="148"/>
      <c r="O242" s="146"/>
      <c r="P242" s="146"/>
      <c r="Q242" s="146"/>
      <c r="R242" s="150"/>
      <c r="S242" s="150"/>
      <c r="T242" s="139"/>
      <c r="U242" s="139"/>
      <c r="V242" s="139"/>
      <c r="W242" s="139"/>
      <c r="X242" s="150"/>
      <c r="Z242" s="149"/>
      <c r="AA242" s="149"/>
      <c r="AB242" s="149"/>
      <c r="AC242" s="149"/>
      <c r="AD242" s="149"/>
      <c r="AE242" s="149"/>
      <c r="AF242" s="149"/>
      <c r="AG242" s="149"/>
      <c r="AH242" s="149"/>
      <c r="AI242" s="149"/>
      <c r="AJ242" s="149"/>
      <c r="AK242" s="149"/>
      <c r="AL242" s="149"/>
      <c r="AT242" s="149"/>
      <c r="AZ242" s="149"/>
      <c r="BC242" s="139"/>
    </row>
    <row r="243" spans="2:55" s="151" customFormat="1" ht="10" x14ac:dyDescent="0.15">
      <c r="B243" s="139"/>
      <c r="C243" s="139"/>
      <c r="D243" s="139"/>
      <c r="E243" s="150"/>
      <c r="F243" s="139"/>
      <c r="G243" s="145"/>
      <c r="H243" s="139"/>
      <c r="I243" s="146"/>
      <c r="J243" s="175"/>
      <c r="K243" s="146"/>
      <c r="L243" s="148"/>
      <c r="M243" s="146"/>
      <c r="N243" s="148"/>
      <c r="O243" s="146"/>
      <c r="P243" s="146"/>
      <c r="Q243" s="146"/>
      <c r="R243" s="150"/>
      <c r="S243" s="150"/>
      <c r="T243" s="139"/>
      <c r="U243" s="139"/>
      <c r="V243" s="139"/>
      <c r="W243" s="139"/>
      <c r="X243" s="150"/>
      <c r="Z243" s="149"/>
      <c r="AA243" s="149"/>
      <c r="AB243" s="149"/>
      <c r="AC243" s="149"/>
      <c r="AD243" s="149"/>
      <c r="AE243" s="149"/>
      <c r="AF243" s="149"/>
      <c r="AG243" s="149"/>
      <c r="AH243" s="149"/>
      <c r="AI243" s="149"/>
      <c r="AJ243" s="149"/>
      <c r="AK243" s="149"/>
      <c r="AL243" s="149"/>
      <c r="AT243" s="149"/>
      <c r="AZ243" s="149"/>
      <c r="BC243" s="139"/>
    </row>
    <row r="244" spans="2:55" s="151" customFormat="1" ht="10" x14ac:dyDescent="0.15">
      <c r="B244" s="139"/>
      <c r="C244" s="139"/>
      <c r="D244" s="139"/>
      <c r="E244" s="150"/>
      <c r="F244" s="139"/>
      <c r="G244" s="145"/>
      <c r="H244" s="139"/>
      <c r="I244" s="146"/>
      <c r="J244" s="175"/>
      <c r="K244" s="146"/>
      <c r="L244" s="148"/>
      <c r="M244" s="146"/>
      <c r="N244" s="148"/>
      <c r="O244" s="146"/>
      <c r="P244" s="146"/>
      <c r="Q244" s="146"/>
      <c r="R244" s="150"/>
      <c r="S244" s="150"/>
      <c r="T244" s="139"/>
      <c r="U244" s="139"/>
      <c r="V244" s="139"/>
      <c r="W244" s="139"/>
      <c r="X244" s="150"/>
      <c r="Z244" s="149"/>
      <c r="AA244" s="149"/>
      <c r="AB244" s="149"/>
      <c r="AC244" s="149"/>
      <c r="AD244" s="149"/>
      <c r="AE244" s="149"/>
      <c r="AF244" s="149"/>
      <c r="AG244" s="149"/>
      <c r="AH244" s="149"/>
      <c r="AI244" s="149"/>
      <c r="AJ244" s="149"/>
      <c r="AK244" s="149"/>
      <c r="AL244" s="149"/>
      <c r="AT244" s="149"/>
      <c r="AZ244" s="149"/>
      <c r="BC244" s="139"/>
    </row>
    <row r="245" spans="2:55" s="151" customFormat="1" ht="10" x14ac:dyDescent="0.15">
      <c r="B245" s="139"/>
      <c r="C245" s="139"/>
      <c r="D245" s="139"/>
      <c r="E245" s="150"/>
      <c r="F245" s="139"/>
      <c r="G245" s="145"/>
      <c r="H245" s="139"/>
      <c r="I245" s="146"/>
      <c r="J245" s="175"/>
      <c r="K245" s="146"/>
      <c r="L245" s="148"/>
      <c r="M245" s="146"/>
      <c r="N245" s="148"/>
      <c r="O245" s="146"/>
      <c r="P245" s="146"/>
      <c r="Q245" s="146"/>
      <c r="R245" s="150"/>
      <c r="S245" s="150"/>
      <c r="T245" s="139"/>
      <c r="U245" s="139"/>
      <c r="V245" s="139"/>
      <c r="W245" s="139"/>
      <c r="X245" s="150"/>
      <c r="Z245" s="149"/>
      <c r="AA245" s="149"/>
      <c r="AB245" s="149"/>
      <c r="AC245" s="149"/>
      <c r="AD245" s="149"/>
      <c r="AE245" s="149"/>
      <c r="AF245" s="149"/>
      <c r="AG245" s="149"/>
      <c r="AH245" s="149"/>
      <c r="AI245" s="149"/>
      <c r="AJ245" s="149"/>
      <c r="AK245" s="149"/>
      <c r="AL245" s="149"/>
      <c r="AT245" s="149"/>
      <c r="AZ245" s="149"/>
      <c r="BC245" s="139"/>
    </row>
    <row r="246" spans="2:55" s="151" customFormat="1" ht="10" x14ac:dyDescent="0.15">
      <c r="B246" s="139"/>
      <c r="C246" s="139"/>
      <c r="D246" s="139"/>
      <c r="E246" s="150"/>
      <c r="F246" s="139"/>
      <c r="G246" s="145"/>
      <c r="H246" s="139"/>
      <c r="I246" s="146"/>
      <c r="J246" s="175"/>
      <c r="K246" s="146"/>
      <c r="L246" s="148"/>
      <c r="M246" s="146"/>
      <c r="N246" s="148"/>
      <c r="O246" s="146"/>
      <c r="P246" s="146"/>
      <c r="Q246" s="146"/>
      <c r="R246" s="150"/>
      <c r="S246" s="150"/>
      <c r="T246" s="139"/>
      <c r="U246" s="139"/>
      <c r="V246" s="139"/>
      <c r="W246" s="139"/>
      <c r="X246" s="150"/>
      <c r="Z246" s="149"/>
      <c r="AA246" s="149"/>
      <c r="AB246" s="149"/>
      <c r="AC246" s="149"/>
      <c r="AD246" s="149"/>
      <c r="AE246" s="149"/>
      <c r="AF246" s="149"/>
      <c r="AG246" s="149"/>
      <c r="AH246" s="149"/>
      <c r="AI246" s="149"/>
      <c r="AJ246" s="149"/>
      <c r="AK246" s="149"/>
      <c r="AL246" s="149"/>
      <c r="AT246" s="149"/>
      <c r="AZ246" s="149"/>
      <c r="BC246" s="139"/>
    </row>
    <row r="247" spans="2:55" s="151" customFormat="1" ht="10" x14ac:dyDescent="0.15">
      <c r="B247" s="139"/>
      <c r="C247" s="139"/>
      <c r="D247" s="139"/>
      <c r="E247" s="150"/>
      <c r="F247" s="139"/>
      <c r="G247" s="145"/>
      <c r="H247" s="139"/>
      <c r="I247" s="146"/>
      <c r="J247" s="175"/>
      <c r="K247" s="146"/>
      <c r="L247" s="148"/>
      <c r="M247" s="146"/>
      <c r="N247" s="148"/>
      <c r="O247" s="146"/>
      <c r="P247" s="146"/>
      <c r="Q247" s="146"/>
      <c r="R247" s="150"/>
      <c r="S247" s="150"/>
      <c r="T247" s="139"/>
      <c r="U247" s="139"/>
      <c r="V247" s="139"/>
      <c r="W247" s="139"/>
      <c r="X247" s="150"/>
      <c r="Z247" s="149"/>
      <c r="AA247" s="149"/>
      <c r="AB247" s="149"/>
      <c r="AC247" s="149"/>
      <c r="AD247" s="149"/>
      <c r="AE247" s="149"/>
      <c r="AF247" s="149"/>
      <c r="AG247" s="149"/>
      <c r="AH247" s="149"/>
      <c r="AI247" s="149"/>
      <c r="AJ247" s="149"/>
      <c r="AK247" s="149"/>
      <c r="AL247" s="149"/>
      <c r="AT247" s="149"/>
      <c r="AZ247" s="149"/>
      <c r="BC247" s="139"/>
    </row>
    <row r="248" spans="2:55" s="151" customFormat="1" ht="10" x14ac:dyDescent="0.15">
      <c r="B248" s="139"/>
      <c r="C248" s="139"/>
      <c r="D248" s="139"/>
      <c r="E248" s="150"/>
      <c r="F248" s="139"/>
      <c r="G248" s="145"/>
      <c r="H248" s="139"/>
      <c r="I248" s="146"/>
      <c r="J248" s="175"/>
      <c r="K248" s="146"/>
      <c r="L248" s="148"/>
      <c r="M248" s="146"/>
      <c r="N248" s="148"/>
      <c r="O248" s="146"/>
      <c r="P248" s="146"/>
      <c r="Q248" s="146"/>
      <c r="R248" s="150"/>
      <c r="S248" s="150"/>
      <c r="T248" s="139"/>
      <c r="U248" s="139"/>
      <c r="V248" s="139"/>
      <c r="W248" s="139"/>
      <c r="X248" s="150"/>
      <c r="Z248" s="149"/>
      <c r="AA248" s="149"/>
      <c r="AB248" s="149"/>
      <c r="AC248" s="149"/>
      <c r="AD248" s="149"/>
      <c r="AE248" s="149"/>
      <c r="AF248" s="149"/>
      <c r="AG248" s="149"/>
      <c r="AH248" s="149"/>
      <c r="AI248" s="149"/>
      <c r="AJ248" s="149"/>
      <c r="AK248" s="149"/>
      <c r="AL248" s="149"/>
      <c r="AT248" s="149"/>
      <c r="AZ248" s="149"/>
      <c r="BC248" s="139"/>
    </row>
    <row r="249" spans="2:55" s="151" customFormat="1" ht="10" x14ac:dyDescent="0.15">
      <c r="B249" s="139"/>
      <c r="C249" s="139"/>
      <c r="D249" s="139"/>
      <c r="E249" s="150"/>
      <c r="F249" s="139"/>
      <c r="G249" s="145"/>
      <c r="H249" s="139"/>
      <c r="I249" s="146"/>
      <c r="J249" s="175"/>
      <c r="K249" s="146"/>
      <c r="L249" s="148"/>
      <c r="M249" s="146"/>
      <c r="N249" s="148"/>
      <c r="O249" s="146"/>
      <c r="P249" s="146"/>
      <c r="Q249" s="146"/>
      <c r="R249" s="150"/>
      <c r="S249" s="150"/>
      <c r="T249" s="139"/>
      <c r="U249" s="139"/>
      <c r="V249" s="139"/>
      <c r="W249" s="139"/>
      <c r="X249" s="150"/>
      <c r="Z249" s="149"/>
      <c r="AA249" s="149"/>
      <c r="AB249" s="149"/>
      <c r="AC249" s="149"/>
      <c r="AD249" s="149"/>
      <c r="AE249" s="149"/>
      <c r="AF249" s="149"/>
      <c r="AG249" s="149"/>
      <c r="AH249" s="149"/>
      <c r="AI249" s="149"/>
      <c r="AJ249" s="149"/>
      <c r="AK249" s="149"/>
      <c r="AL249" s="149"/>
      <c r="AT249" s="149"/>
      <c r="AZ249" s="149"/>
      <c r="BC249" s="139"/>
    </row>
    <row r="250" spans="2:55" s="151" customFormat="1" ht="10" x14ac:dyDescent="0.15">
      <c r="B250" s="139"/>
      <c r="C250" s="139"/>
      <c r="D250" s="139"/>
      <c r="E250" s="150"/>
      <c r="F250" s="139"/>
      <c r="G250" s="145"/>
      <c r="H250" s="139"/>
      <c r="I250" s="146"/>
      <c r="J250" s="175"/>
      <c r="K250" s="146"/>
      <c r="L250" s="148"/>
      <c r="M250" s="146"/>
      <c r="N250" s="148"/>
      <c r="O250" s="146"/>
      <c r="P250" s="146"/>
      <c r="Q250" s="146"/>
      <c r="R250" s="150"/>
      <c r="S250" s="150"/>
      <c r="T250" s="139"/>
      <c r="U250" s="139"/>
      <c r="V250" s="139"/>
      <c r="W250" s="139"/>
      <c r="X250" s="150"/>
      <c r="Z250" s="149"/>
      <c r="AA250" s="149"/>
      <c r="AB250" s="149"/>
      <c r="AC250" s="149"/>
      <c r="AD250" s="149"/>
      <c r="AE250" s="149"/>
      <c r="AF250" s="149"/>
      <c r="AG250" s="149"/>
      <c r="AH250" s="149"/>
      <c r="AI250" s="149"/>
      <c r="AJ250" s="149"/>
      <c r="AK250" s="149"/>
      <c r="AL250" s="149"/>
      <c r="AT250" s="149"/>
      <c r="AZ250" s="149"/>
      <c r="BC250" s="139"/>
    </row>
    <row r="251" spans="2:55" s="151" customFormat="1" ht="10" x14ac:dyDescent="0.15">
      <c r="B251" s="139"/>
      <c r="C251" s="139"/>
      <c r="D251" s="139"/>
      <c r="E251" s="150"/>
      <c r="F251" s="139"/>
      <c r="G251" s="145"/>
      <c r="H251" s="139"/>
      <c r="I251" s="146"/>
      <c r="J251" s="175"/>
      <c r="K251" s="146"/>
      <c r="L251" s="148"/>
      <c r="M251" s="146"/>
      <c r="N251" s="148"/>
      <c r="O251" s="146"/>
      <c r="P251" s="146"/>
      <c r="Q251" s="146"/>
      <c r="R251" s="150"/>
      <c r="S251" s="150"/>
      <c r="T251" s="139"/>
      <c r="U251" s="139"/>
      <c r="V251" s="139"/>
      <c r="W251" s="139"/>
      <c r="X251" s="150"/>
      <c r="Z251" s="149"/>
      <c r="AA251" s="149"/>
      <c r="AB251" s="149"/>
      <c r="AC251" s="149"/>
      <c r="AD251" s="149"/>
      <c r="AE251" s="149"/>
      <c r="AF251" s="149"/>
      <c r="AG251" s="149"/>
      <c r="AH251" s="149"/>
      <c r="AI251" s="149"/>
      <c r="AJ251" s="149"/>
      <c r="AK251" s="149"/>
      <c r="AL251" s="149"/>
      <c r="AT251" s="149"/>
      <c r="AZ251" s="149"/>
      <c r="BC251" s="139"/>
    </row>
    <row r="252" spans="2:55" s="151" customFormat="1" ht="10" x14ac:dyDescent="0.15">
      <c r="B252" s="139"/>
      <c r="C252" s="139"/>
      <c r="D252" s="139"/>
      <c r="E252" s="150"/>
      <c r="F252" s="139"/>
      <c r="G252" s="145"/>
      <c r="H252" s="139"/>
      <c r="I252" s="146"/>
      <c r="J252" s="175"/>
      <c r="K252" s="146"/>
      <c r="L252" s="148"/>
      <c r="M252" s="146"/>
      <c r="N252" s="148"/>
      <c r="O252" s="146"/>
      <c r="P252" s="146"/>
      <c r="Q252" s="146"/>
      <c r="R252" s="150"/>
      <c r="S252" s="150"/>
      <c r="T252" s="139"/>
      <c r="U252" s="139"/>
      <c r="V252" s="139"/>
      <c r="W252" s="139"/>
      <c r="X252" s="150"/>
      <c r="Z252" s="149"/>
      <c r="AA252" s="149"/>
      <c r="AB252" s="149"/>
      <c r="AC252" s="149"/>
      <c r="AD252" s="149"/>
      <c r="AE252" s="149"/>
      <c r="AF252" s="149"/>
      <c r="AG252" s="149"/>
      <c r="AH252" s="149"/>
      <c r="AI252" s="149"/>
      <c r="AJ252" s="149"/>
      <c r="AK252" s="149"/>
      <c r="AL252" s="149"/>
      <c r="AT252" s="149"/>
      <c r="AZ252" s="149"/>
      <c r="BC252" s="139"/>
    </row>
    <row r="253" spans="2:55" s="151" customFormat="1" ht="10" x14ac:dyDescent="0.15">
      <c r="B253" s="139"/>
      <c r="C253" s="139"/>
      <c r="D253" s="139"/>
      <c r="E253" s="150"/>
      <c r="F253" s="139"/>
      <c r="G253" s="145"/>
      <c r="H253" s="139"/>
      <c r="I253" s="146"/>
      <c r="J253" s="175"/>
      <c r="K253" s="146"/>
      <c r="L253" s="148"/>
      <c r="M253" s="146"/>
      <c r="N253" s="148"/>
      <c r="O253" s="146"/>
      <c r="P253" s="146"/>
      <c r="Q253" s="146"/>
      <c r="R253" s="150"/>
      <c r="S253" s="150"/>
      <c r="T253" s="139"/>
      <c r="U253" s="139"/>
      <c r="V253" s="139"/>
      <c r="W253" s="139"/>
      <c r="X253" s="150"/>
      <c r="Z253" s="149"/>
      <c r="AA253" s="149"/>
      <c r="AB253" s="149"/>
      <c r="AC253" s="149"/>
      <c r="AD253" s="149"/>
      <c r="AE253" s="149"/>
      <c r="AF253" s="149"/>
      <c r="AG253" s="149"/>
      <c r="AH253" s="149"/>
      <c r="AI253" s="149"/>
      <c r="AJ253" s="149"/>
      <c r="AK253" s="149"/>
      <c r="AL253" s="149"/>
      <c r="AT253" s="149"/>
      <c r="AZ253" s="149"/>
      <c r="BC253" s="139"/>
    </row>
    <row r="254" spans="2:55" s="151" customFormat="1" ht="10" x14ac:dyDescent="0.15">
      <c r="B254" s="139"/>
      <c r="C254" s="139"/>
      <c r="D254" s="139"/>
      <c r="E254" s="150"/>
      <c r="F254" s="139"/>
      <c r="G254" s="145"/>
      <c r="H254" s="139"/>
      <c r="I254" s="146"/>
      <c r="J254" s="175"/>
      <c r="K254" s="146"/>
      <c r="L254" s="148"/>
      <c r="M254" s="146"/>
      <c r="N254" s="148"/>
      <c r="O254" s="146"/>
      <c r="P254" s="146"/>
      <c r="Q254" s="146"/>
      <c r="R254" s="150"/>
      <c r="S254" s="150"/>
      <c r="T254" s="139"/>
      <c r="U254" s="139"/>
      <c r="V254" s="139"/>
      <c r="W254" s="139"/>
      <c r="X254" s="150"/>
      <c r="Z254" s="149"/>
      <c r="AA254" s="149"/>
      <c r="AB254" s="149"/>
      <c r="AC254" s="149"/>
      <c r="AD254" s="149"/>
      <c r="AE254" s="149"/>
      <c r="AF254" s="149"/>
      <c r="AG254" s="149"/>
      <c r="AH254" s="149"/>
      <c r="AI254" s="149"/>
      <c r="AJ254" s="149"/>
      <c r="AK254" s="149"/>
      <c r="AL254" s="149"/>
      <c r="AT254" s="149"/>
      <c r="AZ254" s="149"/>
      <c r="BC254" s="139"/>
    </row>
    <row r="255" spans="2:55" s="151" customFormat="1" ht="10" x14ac:dyDescent="0.15">
      <c r="B255" s="139"/>
      <c r="C255" s="139"/>
      <c r="D255" s="139"/>
      <c r="E255" s="150"/>
      <c r="F255" s="139"/>
      <c r="G255" s="145"/>
      <c r="H255" s="139"/>
      <c r="I255" s="146"/>
      <c r="J255" s="175"/>
      <c r="K255" s="146"/>
      <c r="L255" s="148"/>
      <c r="M255" s="146"/>
      <c r="N255" s="148"/>
      <c r="O255" s="146"/>
      <c r="P255" s="146"/>
      <c r="Q255" s="146"/>
      <c r="R255" s="150"/>
      <c r="S255" s="150"/>
      <c r="T255" s="139"/>
      <c r="U255" s="139"/>
      <c r="V255" s="139"/>
      <c r="W255" s="139"/>
      <c r="X255" s="150"/>
      <c r="Z255" s="149"/>
      <c r="AA255" s="149"/>
      <c r="AB255" s="149"/>
      <c r="AC255" s="149"/>
      <c r="AD255" s="149"/>
      <c r="AE255" s="149"/>
      <c r="AF255" s="149"/>
      <c r="AG255" s="149"/>
      <c r="AH255" s="149"/>
      <c r="AI255" s="149"/>
      <c r="AJ255" s="149"/>
      <c r="AK255" s="149"/>
      <c r="AL255" s="149"/>
      <c r="AT255" s="149"/>
      <c r="AZ255" s="149"/>
      <c r="BC255" s="139"/>
    </row>
    <row r="256" spans="2:55" s="151" customFormat="1" ht="10" x14ac:dyDescent="0.15">
      <c r="B256" s="139"/>
      <c r="C256" s="139"/>
      <c r="D256" s="139"/>
      <c r="E256" s="150"/>
      <c r="F256" s="139"/>
      <c r="G256" s="145"/>
      <c r="H256" s="139"/>
      <c r="I256" s="146"/>
      <c r="J256" s="175"/>
      <c r="K256" s="146"/>
      <c r="L256" s="148"/>
      <c r="M256" s="146"/>
      <c r="N256" s="148"/>
      <c r="O256" s="146"/>
      <c r="P256" s="146"/>
      <c r="Q256" s="146"/>
      <c r="R256" s="150"/>
      <c r="S256" s="150"/>
      <c r="T256" s="139"/>
      <c r="U256" s="139"/>
      <c r="V256" s="139"/>
      <c r="W256" s="139"/>
      <c r="X256" s="150"/>
      <c r="Z256" s="149"/>
      <c r="AA256" s="149"/>
      <c r="AB256" s="149"/>
      <c r="AC256" s="149"/>
      <c r="AD256" s="149"/>
      <c r="AE256" s="149"/>
      <c r="AF256" s="149"/>
      <c r="AG256" s="149"/>
      <c r="AH256" s="149"/>
      <c r="AI256" s="149"/>
      <c r="AJ256" s="149"/>
      <c r="AK256" s="149"/>
      <c r="AL256" s="149"/>
      <c r="AT256" s="149"/>
      <c r="AZ256" s="149"/>
      <c r="BC256" s="139"/>
    </row>
    <row r="257" spans="2:55" s="151" customFormat="1" ht="10" x14ac:dyDescent="0.15">
      <c r="B257" s="139"/>
      <c r="C257" s="139"/>
      <c r="D257" s="139"/>
      <c r="E257" s="150"/>
      <c r="F257" s="139"/>
      <c r="G257" s="145"/>
      <c r="H257" s="139"/>
      <c r="I257" s="146"/>
      <c r="J257" s="175"/>
      <c r="K257" s="146"/>
      <c r="L257" s="148"/>
      <c r="M257" s="146"/>
      <c r="N257" s="148"/>
      <c r="O257" s="146"/>
      <c r="P257" s="146"/>
      <c r="Q257" s="146"/>
      <c r="R257" s="150"/>
      <c r="S257" s="150"/>
      <c r="T257" s="139"/>
      <c r="U257" s="139"/>
      <c r="V257" s="139"/>
      <c r="W257" s="139"/>
      <c r="X257" s="150"/>
      <c r="Z257" s="149"/>
      <c r="AA257" s="149"/>
      <c r="AB257" s="149"/>
      <c r="AC257" s="149"/>
      <c r="AD257" s="149"/>
      <c r="AE257" s="149"/>
      <c r="AF257" s="149"/>
      <c r="AG257" s="149"/>
      <c r="AH257" s="149"/>
      <c r="AI257" s="149"/>
      <c r="AJ257" s="149"/>
      <c r="AK257" s="149"/>
      <c r="AL257" s="149"/>
      <c r="AT257" s="149"/>
      <c r="AZ257" s="149"/>
      <c r="BC257" s="139"/>
    </row>
    <row r="258" spans="2:55" s="151" customFormat="1" ht="10" x14ac:dyDescent="0.15">
      <c r="B258" s="139"/>
      <c r="C258" s="139"/>
      <c r="D258" s="139"/>
      <c r="E258" s="150"/>
      <c r="F258" s="139"/>
      <c r="G258" s="145"/>
      <c r="H258" s="139"/>
      <c r="I258" s="146"/>
      <c r="J258" s="175"/>
      <c r="K258" s="146"/>
      <c r="L258" s="148"/>
      <c r="M258" s="146"/>
      <c r="N258" s="148"/>
      <c r="O258" s="146"/>
      <c r="P258" s="146"/>
      <c r="Q258" s="146"/>
      <c r="R258" s="150"/>
      <c r="S258" s="150"/>
      <c r="T258" s="139"/>
      <c r="U258" s="139"/>
      <c r="V258" s="139"/>
      <c r="W258" s="139"/>
      <c r="X258" s="150"/>
      <c r="Z258" s="149"/>
      <c r="AA258" s="149"/>
      <c r="AB258" s="149"/>
      <c r="AC258" s="149"/>
      <c r="AD258" s="149"/>
      <c r="AE258" s="149"/>
      <c r="AF258" s="149"/>
      <c r="AG258" s="149"/>
      <c r="AH258" s="149"/>
      <c r="AI258" s="149"/>
      <c r="AJ258" s="149"/>
      <c r="AK258" s="149"/>
      <c r="AL258" s="149"/>
      <c r="AT258" s="149"/>
      <c r="AZ258" s="149"/>
      <c r="BC258" s="139"/>
    </row>
    <row r="259" spans="2:55" s="151" customFormat="1" ht="10" x14ac:dyDescent="0.15">
      <c r="B259" s="139"/>
      <c r="C259" s="139"/>
      <c r="D259" s="139"/>
      <c r="E259" s="150"/>
      <c r="F259" s="139"/>
      <c r="G259" s="145"/>
      <c r="H259" s="139"/>
      <c r="I259" s="146"/>
      <c r="J259" s="175"/>
      <c r="K259" s="146"/>
      <c r="L259" s="148"/>
      <c r="M259" s="146"/>
      <c r="N259" s="148"/>
      <c r="O259" s="146"/>
      <c r="P259" s="146"/>
      <c r="Q259" s="146"/>
      <c r="R259" s="150"/>
      <c r="S259" s="150"/>
      <c r="T259" s="139"/>
      <c r="U259" s="139"/>
      <c r="V259" s="139"/>
      <c r="W259" s="139"/>
      <c r="X259" s="150"/>
      <c r="Z259" s="149"/>
      <c r="AA259" s="149"/>
      <c r="AB259" s="149"/>
      <c r="AC259" s="149"/>
      <c r="AD259" s="149"/>
      <c r="AE259" s="149"/>
      <c r="AF259" s="149"/>
      <c r="AG259" s="149"/>
      <c r="AH259" s="149"/>
      <c r="AI259" s="149"/>
      <c r="AJ259" s="149"/>
      <c r="AK259" s="149"/>
      <c r="AL259" s="149"/>
      <c r="AT259" s="149"/>
      <c r="AZ259" s="149"/>
      <c r="BC259" s="139"/>
    </row>
    <row r="260" spans="2:55" s="151" customFormat="1" ht="10" x14ac:dyDescent="0.15">
      <c r="B260" s="139"/>
      <c r="C260" s="139"/>
      <c r="D260" s="139"/>
      <c r="E260" s="150"/>
      <c r="F260" s="139"/>
      <c r="G260" s="145"/>
      <c r="H260" s="139"/>
      <c r="I260" s="146"/>
      <c r="J260" s="175"/>
      <c r="K260" s="146"/>
      <c r="L260" s="148"/>
      <c r="M260" s="146"/>
      <c r="N260" s="148"/>
      <c r="O260" s="146"/>
      <c r="P260" s="146"/>
      <c r="Q260" s="146"/>
      <c r="R260" s="150"/>
      <c r="S260" s="150"/>
      <c r="T260" s="139"/>
      <c r="U260" s="139"/>
      <c r="V260" s="139"/>
      <c r="W260" s="139"/>
      <c r="X260" s="150"/>
      <c r="Z260" s="149"/>
      <c r="AA260" s="149"/>
      <c r="AB260" s="149"/>
      <c r="AC260" s="149"/>
      <c r="AD260" s="149"/>
      <c r="AE260" s="149"/>
      <c r="AF260" s="149"/>
      <c r="AG260" s="149"/>
      <c r="AH260" s="149"/>
      <c r="AI260" s="149"/>
      <c r="AJ260" s="149"/>
      <c r="AK260" s="149"/>
      <c r="AL260" s="149"/>
      <c r="AT260" s="149"/>
      <c r="AZ260" s="149"/>
      <c r="BC260" s="139"/>
    </row>
    <row r="261" spans="2:55" s="151" customFormat="1" ht="10" x14ac:dyDescent="0.15">
      <c r="B261" s="139"/>
      <c r="C261" s="139"/>
      <c r="D261" s="139"/>
      <c r="E261" s="150"/>
      <c r="F261" s="139"/>
      <c r="G261" s="145"/>
      <c r="H261" s="139"/>
      <c r="I261" s="146"/>
      <c r="J261" s="175"/>
      <c r="K261" s="146"/>
      <c r="L261" s="148"/>
      <c r="M261" s="146"/>
      <c r="N261" s="148"/>
      <c r="O261" s="146"/>
      <c r="P261" s="146"/>
      <c r="Q261" s="146"/>
      <c r="R261" s="150"/>
      <c r="S261" s="150"/>
      <c r="T261" s="139"/>
      <c r="U261" s="139"/>
      <c r="V261" s="139"/>
      <c r="W261" s="139"/>
      <c r="X261" s="150"/>
      <c r="Z261" s="149"/>
      <c r="AA261" s="149"/>
      <c r="AB261" s="149"/>
      <c r="AC261" s="149"/>
      <c r="AD261" s="149"/>
      <c r="AE261" s="149"/>
      <c r="AF261" s="149"/>
      <c r="AG261" s="149"/>
      <c r="AH261" s="149"/>
      <c r="AI261" s="149"/>
      <c r="AJ261" s="149"/>
      <c r="AK261" s="149"/>
      <c r="AL261" s="149"/>
      <c r="AT261" s="149"/>
      <c r="AZ261" s="149"/>
      <c r="BC261" s="139"/>
    </row>
    <row r="262" spans="2:55" s="151" customFormat="1" ht="10" x14ac:dyDescent="0.15">
      <c r="B262" s="139"/>
      <c r="C262" s="139"/>
      <c r="D262" s="139"/>
      <c r="E262" s="150"/>
      <c r="F262" s="139"/>
      <c r="G262" s="145"/>
      <c r="H262" s="139"/>
      <c r="I262" s="146"/>
      <c r="J262" s="175"/>
      <c r="K262" s="146"/>
      <c r="L262" s="148"/>
      <c r="M262" s="146"/>
      <c r="N262" s="148"/>
      <c r="O262" s="146"/>
      <c r="P262" s="146"/>
      <c r="Q262" s="146"/>
      <c r="R262" s="150"/>
      <c r="S262" s="150"/>
      <c r="T262" s="139"/>
      <c r="U262" s="139"/>
      <c r="V262" s="139"/>
      <c r="W262" s="139"/>
      <c r="X262" s="150"/>
      <c r="Z262" s="149"/>
      <c r="AA262" s="149"/>
      <c r="AB262" s="149"/>
      <c r="AC262" s="149"/>
      <c r="AD262" s="149"/>
      <c r="AE262" s="149"/>
      <c r="AF262" s="149"/>
      <c r="AG262" s="149"/>
      <c r="AH262" s="149"/>
      <c r="AI262" s="149"/>
      <c r="AJ262" s="149"/>
      <c r="AK262" s="149"/>
      <c r="AL262" s="149"/>
      <c r="AT262" s="149"/>
      <c r="AZ262" s="149"/>
      <c r="BC262" s="139"/>
    </row>
    <row r="263" spans="2:55" s="151" customFormat="1" ht="10" x14ac:dyDescent="0.15">
      <c r="B263" s="139"/>
      <c r="C263" s="139"/>
      <c r="D263" s="139"/>
      <c r="E263" s="150"/>
      <c r="F263" s="139"/>
      <c r="G263" s="145"/>
      <c r="H263" s="139"/>
      <c r="I263" s="146"/>
      <c r="J263" s="175"/>
      <c r="K263" s="146"/>
      <c r="L263" s="148"/>
      <c r="M263" s="146"/>
      <c r="N263" s="148"/>
      <c r="O263" s="146"/>
      <c r="P263" s="146"/>
      <c r="Q263" s="146"/>
      <c r="R263" s="150"/>
      <c r="S263" s="150"/>
      <c r="T263" s="139"/>
      <c r="U263" s="139"/>
      <c r="V263" s="139"/>
      <c r="W263" s="139"/>
      <c r="X263" s="150"/>
      <c r="Z263" s="149"/>
      <c r="AA263" s="149"/>
      <c r="AB263" s="149"/>
      <c r="AC263" s="149"/>
      <c r="AD263" s="149"/>
      <c r="AE263" s="149"/>
      <c r="AF263" s="149"/>
      <c r="AG263" s="149"/>
      <c r="AH263" s="149"/>
      <c r="AI263" s="149"/>
      <c r="AJ263" s="149"/>
      <c r="AK263" s="149"/>
      <c r="AL263" s="149"/>
      <c r="AT263" s="149"/>
      <c r="AZ263" s="149"/>
      <c r="BC263" s="139"/>
    </row>
    <row r="264" spans="2:55" s="151" customFormat="1" ht="10" x14ac:dyDescent="0.15">
      <c r="B264" s="139"/>
      <c r="C264" s="139"/>
      <c r="D264" s="139"/>
      <c r="E264" s="150"/>
      <c r="F264" s="139"/>
      <c r="G264" s="145"/>
      <c r="H264" s="139"/>
      <c r="I264" s="146"/>
      <c r="J264" s="175"/>
      <c r="K264" s="146"/>
      <c r="L264" s="148"/>
      <c r="M264" s="146"/>
      <c r="N264" s="148"/>
      <c r="O264" s="146"/>
      <c r="P264" s="146"/>
      <c r="Q264" s="146"/>
      <c r="R264" s="150"/>
      <c r="S264" s="150"/>
      <c r="T264" s="139"/>
      <c r="U264" s="139"/>
      <c r="V264" s="139"/>
      <c r="W264" s="139"/>
      <c r="X264" s="150"/>
      <c r="Z264" s="149"/>
      <c r="AA264" s="149"/>
      <c r="AB264" s="149"/>
      <c r="AC264" s="149"/>
      <c r="AD264" s="149"/>
      <c r="AE264" s="149"/>
      <c r="AF264" s="149"/>
      <c r="AG264" s="149"/>
      <c r="AH264" s="149"/>
      <c r="AI264" s="149"/>
      <c r="AJ264" s="149"/>
      <c r="AK264" s="149"/>
      <c r="AL264" s="149"/>
      <c r="AT264" s="149"/>
      <c r="AZ264" s="149"/>
      <c r="BC264" s="139"/>
    </row>
    <row r="265" spans="2:55" s="151" customFormat="1" ht="10" x14ac:dyDescent="0.15">
      <c r="B265" s="139"/>
      <c r="C265" s="139"/>
      <c r="D265" s="139"/>
      <c r="E265" s="150"/>
      <c r="F265" s="139"/>
      <c r="G265" s="145"/>
      <c r="H265" s="139"/>
      <c r="I265" s="146"/>
      <c r="J265" s="175"/>
      <c r="K265" s="146"/>
      <c r="L265" s="148"/>
      <c r="M265" s="146"/>
      <c r="N265" s="148"/>
      <c r="O265" s="146"/>
      <c r="P265" s="146"/>
      <c r="Q265" s="146"/>
      <c r="R265" s="150"/>
      <c r="S265" s="150"/>
      <c r="T265" s="139"/>
      <c r="U265" s="139"/>
      <c r="V265" s="139"/>
      <c r="W265" s="139"/>
      <c r="X265" s="150"/>
      <c r="Z265" s="149"/>
      <c r="AA265" s="149"/>
      <c r="AB265" s="149"/>
      <c r="AC265" s="149"/>
      <c r="AD265" s="149"/>
      <c r="AE265" s="149"/>
      <c r="AF265" s="149"/>
      <c r="AG265" s="149"/>
      <c r="AH265" s="149"/>
      <c r="AI265" s="149"/>
      <c r="AJ265" s="149"/>
      <c r="AK265" s="149"/>
      <c r="AL265" s="149"/>
      <c r="AT265" s="149"/>
      <c r="AZ265" s="149"/>
      <c r="BC265" s="139"/>
    </row>
    <row r="266" spans="2:55" s="151" customFormat="1" ht="10" x14ac:dyDescent="0.15">
      <c r="B266" s="139"/>
      <c r="C266" s="139"/>
      <c r="D266" s="139"/>
      <c r="E266" s="150"/>
      <c r="F266" s="139"/>
      <c r="G266" s="145"/>
      <c r="H266" s="139"/>
      <c r="I266" s="146"/>
      <c r="J266" s="175"/>
      <c r="K266" s="146"/>
      <c r="L266" s="148"/>
      <c r="M266" s="146"/>
      <c r="N266" s="148"/>
      <c r="O266" s="146"/>
      <c r="P266" s="146"/>
      <c r="Q266" s="146"/>
      <c r="R266" s="150"/>
      <c r="S266" s="150"/>
      <c r="T266" s="139"/>
      <c r="U266" s="139"/>
      <c r="V266" s="139"/>
      <c r="W266" s="139"/>
      <c r="X266" s="150"/>
      <c r="Z266" s="149"/>
      <c r="AA266" s="149"/>
      <c r="AB266" s="149"/>
      <c r="AC266" s="149"/>
      <c r="AD266" s="149"/>
      <c r="AE266" s="149"/>
      <c r="AF266" s="149"/>
      <c r="AG266" s="149"/>
      <c r="AH266" s="149"/>
      <c r="AI266" s="149"/>
      <c r="AJ266" s="149"/>
      <c r="AK266" s="149"/>
      <c r="AL266" s="149"/>
      <c r="AT266" s="149"/>
      <c r="AZ266" s="149"/>
      <c r="BC266" s="139"/>
    </row>
    <row r="267" spans="2:55" s="151" customFormat="1" ht="10" x14ac:dyDescent="0.15">
      <c r="B267" s="139"/>
      <c r="C267" s="139"/>
      <c r="D267" s="139"/>
      <c r="E267" s="150"/>
      <c r="F267" s="139"/>
      <c r="G267" s="145"/>
      <c r="H267" s="139"/>
      <c r="I267" s="146"/>
      <c r="J267" s="175"/>
      <c r="K267" s="146"/>
      <c r="L267" s="148"/>
      <c r="M267" s="146"/>
      <c r="N267" s="148"/>
      <c r="O267" s="146"/>
      <c r="P267" s="146"/>
      <c r="Q267" s="146"/>
      <c r="R267" s="150"/>
      <c r="S267" s="150"/>
      <c r="T267" s="139"/>
      <c r="U267" s="139"/>
      <c r="V267" s="139"/>
      <c r="W267" s="139"/>
      <c r="X267" s="150"/>
      <c r="Z267" s="149"/>
      <c r="AA267" s="149"/>
      <c r="AB267" s="149"/>
      <c r="AC267" s="149"/>
      <c r="AD267" s="149"/>
      <c r="AE267" s="149"/>
      <c r="AF267" s="149"/>
      <c r="AG267" s="149"/>
      <c r="AH267" s="149"/>
      <c r="AI267" s="149"/>
      <c r="AJ267" s="149"/>
      <c r="AK267" s="149"/>
      <c r="AL267" s="149"/>
      <c r="AT267" s="149"/>
      <c r="AZ267" s="149"/>
      <c r="BC267" s="139"/>
    </row>
    <row r="268" spans="2:55" s="151" customFormat="1" ht="10" x14ac:dyDescent="0.15">
      <c r="B268" s="139"/>
      <c r="C268" s="139"/>
      <c r="D268" s="139"/>
      <c r="E268" s="150"/>
      <c r="F268" s="139"/>
      <c r="G268" s="145"/>
      <c r="H268" s="139"/>
      <c r="I268" s="146"/>
      <c r="J268" s="175"/>
      <c r="K268" s="146"/>
      <c r="L268" s="148"/>
      <c r="M268" s="146"/>
      <c r="N268" s="148"/>
      <c r="O268" s="146"/>
      <c r="P268" s="146"/>
      <c r="Q268" s="146"/>
      <c r="R268" s="150"/>
      <c r="S268" s="150"/>
      <c r="T268" s="139"/>
      <c r="U268" s="139"/>
      <c r="V268" s="139"/>
      <c r="W268" s="139"/>
      <c r="X268" s="150"/>
      <c r="Z268" s="149"/>
      <c r="AA268" s="149"/>
      <c r="AB268" s="149"/>
      <c r="AC268" s="149"/>
      <c r="AD268" s="149"/>
      <c r="AE268" s="149"/>
      <c r="AF268" s="149"/>
      <c r="AG268" s="149"/>
      <c r="AH268" s="149"/>
      <c r="AI268" s="149"/>
      <c r="AJ268" s="149"/>
      <c r="AK268" s="149"/>
      <c r="AL268" s="149"/>
      <c r="AT268" s="149"/>
      <c r="AZ268" s="149"/>
      <c r="BC268" s="139"/>
    </row>
    <row r="269" spans="2:55" s="151" customFormat="1" ht="10" x14ac:dyDescent="0.15">
      <c r="B269" s="139"/>
      <c r="C269" s="139"/>
      <c r="D269" s="139"/>
      <c r="E269" s="150"/>
      <c r="F269" s="139"/>
      <c r="G269" s="145"/>
      <c r="H269" s="139"/>
      <c r="I269" s="146"/>
      <c r="J269" s="175"/>
      <c r="K269" s="146"/>
      <c r="L269" s="148"/>
      <c r="M269" s="146"/>
      <c r="N269" s="148"/>
      <c r="O269" s="146"/>
      <c r="P269" s="146"/>
      <c r="Q269" s="146"/>
      <c r="R269" s="150"/>
      <c r="S269" s="150"/>
      <c r="T269" s="139"/>
      <c r="U269" s="139"/>
      <c r="V269" s="139"/>
      <c r="W269" s="139"/>
      <c r="X269" s="150"/>
      <c r="Z269" s="149"/>
      <c r="AA269" s="149"/>
      <c r="AB269" s="149"/>
      <c r="AC269" s="149"/>
      <c r="AD269" s="149"/>
      <c r="AE269" s="149"/>
      <c r="AF269" s="149"/>
      <c r="AG269" s="149"/>
      <c r="AH269" s="149"/>
      <c r="AI269" s="149"/>
      <c r="AJ269" s="149"/>
      <c r="AK269" s="149"/>
      <c r="AL269" s="149"/>
      <c r="AT269" s="149"/>
      <c r="AZ269" s="149"/>
      <c r="BC269" s="139"/>
    </row>
    <row r="270" spans="2:55" s="151" customFormat="1" ht="10" x14ac:dyDescent="0.15">
      <c r="B270" s="139"/>
      <c r="C270" s="139"/>
      <c r="D270" s="139"/>
      <c r="E270" s="150"/>
      <c r="F270" s="139"/>
      <c r="G270" s="145"/>
      <c r="H270" s="139"/>
      <c r="I270" s="146"/>
      <c r="J270" s="175"/>
      <c r="K270" s="146"/>
      <c r="L270" s="148"/>
      <c r="M270" s="146"/>
      <c r="N270" s="148"/>
      <c r="O270" s="146"/>
      <c r="P270" s="146"/>
      <c r="Q270" s="146"/>
      <c r="R270" s="150"/>
      <c r="S270" s="150"/>
      <c r="T270" s="139"/>
      <c r="U270" s="139"/>
      <c r="V270" s="139"/>
      <c r="W270" s="139"/>
      <c r="X270" s="150"/>
      <c r="Z270" s="149"/>
      <c r="AA270" s="149"/>
      <c r="AB270" s="149"/>
      <c r="AC270" s="149"/>
      <c r="AD270" s="149"/>
      <c r="AE270" s="149"/>
      <c r="AF270" s="149"/>
      <c r="AG270" s="149"/>
      <c r="AH270" s="149"/>
      <c r="AI270" s="149"/>
      <c r="AJ270" s="149"/>
      <c r="AK270" s="149"/>
      <c r="AL270" s="149"/>
      <c r="AT270" s="149"/>
      <c r="AZ270" s="149"/>
      <c r="BC270" s="139"/>
    </row>
    <row r="271" spans="2:55" s="151" customFormat="1" ht="10" x14ac:dyDescent="0.15">
      <c r="B271" s="139"/>
      <c r="C271" s="139"/>
      <c r="D271" s="139"/>
      <c r="E271" s="150"/>
      <c r="F271" s="139"/>
      <c r="G271" s="145"/>
      <c r="H271" s="139"/>
      <c r="I271" s="146"/>
      <c r="J271" s="175"/>
      <c r="K271" s="146"/>
      <c r="L271" s="148"/>
      <c r="M271" s="146"/>
      <c r="N271" s="148"/>
      <c r="O271" s="146"/>
      <c r="P271" s="146"/>
      <c r="Q271" s="146"/>
      <c r="R271" s="150"/>
      <c r="S271" s="150"/>
      <c r="T271" s="139"/>
      <c r="U271" s="139"/>
      <c r="V271" s="139"/>
      <c r="W271" s="139"/>
      <c r="X271" s="150"/>
      <c r="Z271" s="149"/>
      <c r="AA271" s="149"/>
      <c r="AB271" s="149"/>
      <c r="AC271" s="149"/>
      <c r="AD271" s="149"/>
      <c r="AE271" s="149"/>
      <c r="AF271" s="149"/>
      <c r="AG271" s="149"/>
      <c r="AH271" s="149"/>
      <c r="AI271" s="149"/>
      <c r="AJ271" s="149"/>
      <c r="AK271" s="149"/>
      <c r="AL271" s="149"/>
      <c r="AT271" s="149"/>
      <c r="AZ271" s="149"/>
      <c r="BC271" s="139"/>
    </row>
    <row r="272" spans="2:55" s="151" customFormat="1" ht="10" x14ac:dyDescent="0.15">
      <c r="B272" s="139"/>
      <c r="C272" s="139"/>
      <c r="D272" s="139"/>
      <c r="E272" s="150"/>
      <c r="F272" s="139"/>
      <c r="G272" s="145"/>
      <c r="H272" s="139"/>
      <c r="I272" s="146"/>
      <c r="J272" s="175"/>
      <c r="K272" s="146"/>
      <c r="L272" s="148"/>
      <c r="M272" s="146"/>
      <c r="N272" s="148"/>
      <c r="O272" s="146"/>
      <c r="P272" s="146"/>
      <c r="Q272" s="146"/>
      <c r="R272" s="150"/>
      <c r="S272" s="150"/>
      <c r="T272" s="139"/>
      <c r="U272" s="139"/>
      <c r="V272" s="139"/>
      <c r="W272" s="139"/>
      <c r="X272" s="150"/>
      <c r="Z272" s="149"/>
      <c r="AA272" s="149"/>
      <c r="AB272" s="149"/>
      <c r="AC272" s="149"/>
      <c r="AD272" s="149"/>
      <c r="AE272" s="149"/>
      <c r="AF272" s="149"/>
      <c r="AG272" s="149"/>
      <c r="AH272" s="149"/>
      <c r="AI272" s="149"/>
      <c r="AJ272" s="149"/>
      <c r="AK272" s="149"/>
      <c r="AL272" s="149"/>
      <c r="AT272" s="149"/>
      <c r="AZ272" s="149"/>
      <c r="BC272" s="139"/>
    </row>
    <row r="273" spans="2:55" s="151" customFormat="1" ht="10" x14ac:dyDescent="0.15">
      <c r="B273" s="139"/>
      <c r="C273" s="139"/>
      <c r="D273" s="139"/>
      <c r="E273" s="150"/>
      <c r="F273" s="139"/>
      <c r="G273" s="145"/>
      <c r="H273" s="139"/>
      <c r="I273" s="146"/>
      <c r="J273" s="175"/>
      <c r="K273" s="146"/>
      <c r="L273" s="148"/>
      <c r="M273" s="146"/>
      <c r="N273" s="148"/>
      <c r="O273" s="146"/>
      <c r="P273" s="146"/>
      <c r="Q273" s="146"/>
      <c r="R273" s="150"/>
      <c r="S273" s="150"/>
      <c r="T273" s="139"/>
      <c r="U273" s="139"/>
      <c r="V273" s="139"/>
      <c r="W273" s="139"/>
      <c r="X273" s="150"/>
      <c r="Z273" s="149"/>
      <c r="AA273" s="149"/>
      <c r="AB273" s="149"/>
      <c r="AC273" s="149"/>
      <c r="AD273" s="149"/>
      <c r="AE273" s="149"/>
      <c r="AF273" s="149"/>
      <c r="AG273" s="149"/>
      <c r="AH273" s="149"/>
      <c r="AI273" s="149"/>
      <c r="AJ273" s="149"/>
      <c r="AK273" s="149"/>
      <c r="AL273" s="149"/>
      <c r="AT273" s="149"/>
      <c r="AZ273" s="149"/>
      <c r="BC273" s="139"/>
    </row>
    <row r="274" spans="2:55" s="151" customFormat="1" ht="10" x14ac:dyDescent="0.15">
      <c r="B274" s="139"/>
      <c r="C274" s="139"/>
      <c r="D274" s="139"/>
      <c r="E274" s="150"/>
      <c r="F274" s="139"/>
      <c r="G274" s="145"/>
      <c r="H274" s="139"/>
      <c r="I274" s="146"/>
      <c r="J274" s="175"/>
      <c r="K274" s="146"/>
      <c r="L274" s="148"/>
      <c r="M274" s="146"/>
      <c r="N274" s="148"/>
      <c r="O274" s="146"/>
      <c r="P274" s="146"/>
      <c r="Q274" s="146"/>
      <c r="R274" s="150"/>
      <c r="S274" s="150"/>
      <c r="T274" s="139"/>
      <c r="U274" s="139"/>
      <c r="V274" s="139"/>
      <c r="W274" s="139"/>
      <c r="X274" s="150"/>
      <c r="Z274" s="149"/>
      <c r="AA274" s="149"/>
      <c r="AB274" s="149"/>
      <c r="AC274" s="149"/>
      <c r="AD274" s="149"/>
      <c r="AE274" s="149"/>
      <c r="AF274" s="149"/>
      <c r="AG274" s="149"/>
      <c r="AH274" s="149"/>
      <c r="AI274" s="149"/>
      <c r="AJ274" s="149"/>
      <c r="AK274" s="149"/>
      <c r="AL274" s="149"/>
      <c r="AT274" s="149"/>
      <c r="AZ274" s="149"/>
      <c r="BC274" s="139"/>
    </row>
    <row r="275" spans="2:55" s="151" customFormat="1" ht="10" x14ac:dyDescent="0.15">
      <c r="B275" s="139"/>
      <c r="C275" s="139"/>
      <c r="D275" s="139"/>
      <c r="E275" s="150"/>
      <c r="F275" s="139"/>
      <c r="G275" s="145"/>
      <c r="H275" s="139"/>
      <c r="I275" s="146"/>
      <c r="J275" s="175"/>
      <c r="K275" s="146"/>
      <c r="L275" s="148"/>
      <c r="M275" s="146"/>
      <c r="N275" s="148"/>
      <c r="O275" s="146"/>
      <c r="P275" s="146"/>
      <c r="Q275" s="146"/>
      <c r="R275" s="150"/>
      <c r="S275" s="150"/>
      <c r="T275" s="139"/>
      <c r="U275" s="139"/>
      <c r="V275" s="139"/>
      <c r="W275" s="139"/>
      <c r="X275" s="150"/>
      <c r="Z275" s="149"/>
      <c r="AA275" s="149"/>
      <c r="AB275" s="149"/>
      <c r="AC275" s="149"/>
      <c r="AD275" s="149"/>
      <c r="AE275" s="149"/>
      <c r="AF275" s="149"/>
      <c r="AG275" s="149"/>
      <c r="AH275" s="149"/>
      <c r="AI275" s="149"/>
      <c r="AJ275" s="149"/>
      <c r="AK275" s="149"/>
      <c r="AL275" s="149"/>
      <c r="AT275" s="149"/>
      <c r="AZ275" s="149"/>
      <c r="BC275" s="139"/>
    </row>
    <row r="276" spans="2:55" s="151" customFormat="1" ht="10" x14ac:dyDescent="0.15">
      <c r="B276" s="139"/>
      <c r="C276" s="139"/>
      <c r="D276" s="139"/>
      <c r="E276" s="150"/>
      <c r="F276" s="139"/>
      <c r="G276" s="145"/>
      <c r="H276" s="139"/>
      <c r="I276" s="146"/>
      <c r="J276" s="175"/>
      <c r="K276" s="146"/>
      <c r="L276" s="148"/>
      <c r="M276" s="146"/>
      <c r="N276" s="148"/>
      <c r="O276" s="146"/>
      <c r="P276" s="146"/>
      <c r="Q276" s="146"/>
      <c r="R276" s="150"/>
      <c r="S276" s="150"/>
      <c r="T276" s="139"/>
      <c r="U276" s="139"/>
      <c r="V276" s="139"/>
      <c r="W276" s="139"/>
      <c r="X276" s="150"/>
      <c r="Z276" s="149"/>
      <c r="AA276" s="149"/>
      <c r="AB276" s="149"/>
      <c r="AC276" s="149"/>
      <c r="AD276" s="149"/>
      <c r="AE276" s="149"/>
      <c r="AF276" s="149"/>
      <c r="AG276" s="149"/>
      <c r="AH276" s="149"/>
      <c r="AI276" s="149"/>
      <c r="AJ276" s="149"/>
      <c r="AK276" s="149"/>
      <c r="AL276" s="149"/>
      <c r="AT276" s="149"/>
      <c r="AZ276" s="149"/>
      <c r="BC276" s="139"/>
    </row>
    <row r="277" spans="2:55" s="151" customFormat="1" ht="10" x14ac:dyDescent="0.15">
      <c r="B277" s="139"/>
      <c r="C277" s="139"/>
      <c r="D277" s="139"/>
      <c r="E277" s="150"/>
      <c r="F277" s="139"/>
      <c r="G277" s="145"/>
      <c r="H277" s="139"/>
      <c r="I277" s="146"/>
      <c r="J277" s="175"/>
      <c r="K277" s="146"/>
      <c r="L277" s="148"/>
      <c r="M277" s="146"/>
      <c r="N277" s="148"/>
      <c r="O277" s="146"/>
      <c r="P277" s="146"/>
      <c r="Q277" s="146"/>
      <c r="R277" s="150"/>
      <c r="S277" s="150"/>
      <c r="T277" s="139"/>
      <c r="U277" s="139"/>
      <c r="V277" s="139"/>
      <c r="W277" s="139"/>
      <c r="X277" s="150"/>
      <c r="Z277" s="149"/>
      <c r="AA277" s="149"/>
      <c r="AB277" s="149"/>
      <c r="AC277" s="149"/>
      <c r="AD277" s="149"/>
      <c r="AE277" s="149"/>
      <c r="AF277" s="149"/>
      <c r="AG277" s="149"/>
      <c r="AH277" s="149"/>
      <c r="AI277" s="149"/>
      <c r="AJ277" s="149"/>
      <c r="AK277" s="149"/>
      <c r="AL277" s="149"/>
      <c r="AT277" s="149"/>
      <c r="AZ277" s="149"/>
      <c r="BC277" s="139"/>
    </row>
    <row r="278" spans="2:55" s="151" customFormat="1" ht="10" x14ac:dyDescent="0.15">
      <c r="B278" s="139"/>
      <c r="C278" s="139"/>
      <c r="D278" s="139"/>
      <c r="E278" s="150"/>
      <c r="F278" s="139"/>
      <c r="G278" s="145"/>
      <c r="H278" s="139"/>
      <c r="I278" s="146"/>
      <c r="J278" s="175"/>
      <c r="K278" s="146"/>
      <c r="L278" s="148"/>
      <c r="M278" s="146"/>
      <c r="N278" s="148"/>
      <c r="O278" s="146"/>
      <c r="P278" s="146"/>
      <c r="Q278" s="146"/>
      <c r="R278" s="150"/>
      <c r="S278" s="150"/>
      <c r="T278" s="139"/>
      <c r="U278" s="139"/>
      <c r="V278" s="139"/>
      <c r="W278" s="139"/>
      <c r="X278" s="150"/>
      <c r="Z278" s="149"/>
      <c r="AA278" s="149"/>
      <c r="AB278" s="149"/>
      <c r="AC278" s="149"/>
      <c r="AD278" s="149"/>
      <c r="AE278" s="149"/>
      <c r="AF278" s="149"/>
      <c r="AG278" s="149"/>
      <c r="AH278" s="149"/>
      <c r="AI278" s="149"/>
      <c r="AJ278" s="149"/>
      <c r="AK278" s="149"/>
      <c r="AL278" s="149"/>
      <c r="AT278" s="149"/>
      <c r="AZ278" s="149"/>
      <c r="BC278" s="139"/>
    </row>
    <row r="279" spans="2:55" s="151" customFormat="1" ht="10" x14ac:dyDescent="0.15">
      <c r="B279" s="139"/>
      <c r="C279" s="139"/>
      <c r="D279" s="139"/>
      <c r="E279" s="150"/>
      <c r="F279" s="139"/>
      <c r="G279" s="145"/>
      <c r="H279" s="139"/>
      <c r="I279" s="146"/>
      <c r="J279" s="175"/>
      <c r="K279" s="146"/>
      <c r="L279" s="148"/>
      <c r="M279" s="146"/>
      <c r="N279" s="148"/>
      <c r="O279" s="146"/>
      <c r="P279" s="146"/>
      <c r="Q279" s="146"/>
      <c r="R279" s="150"/>
      <c r="S279" s="150"/>
      <c r="T279" s="139"/>
      <c r="U279" s="139"/>
      <c r="V279" s="139"/>
      <c r="W279" s="139"/>
      <c r="X279" s="150"/>
      <c r="Z279" s="149"/>
      <c r="AA279" s="149"/>
      <c r="AB279" s="149"/>
      <c r="AC279" s="149"/>
      <c r="AD279" s="149"/>
      <c r="AE279" s="149"/>
      <c r="AF279" s="149"/>
      <c r="AG279" s="149"/>
      <c r="AH279" s="149"/>
      <c r="AI279" s="149"/>
      <c r="AJ279" s="149"/>
      <c r="AK279" s="149"/>
      <c r="AL279" s="149"/>
      <c r="AT279" s="149"/>
      <c r="AZ279" s="149"/>
      <c r="BC279" s="139"/>
    </row>
    <row r="280" spans="2:55" s="151" customFormat="1" ht="10" x14ac:dyDescent="0.15">
      <c r="B280" s="139"/>
      <c r="C280" s="139"/>
      <c r="D280" s="139"/>
      <c r="E280" s="150"/>
      <c r="F280" s="139"/>
      <c r="G280" s="145"/>
      <c r="H280" s="139"/>
      <c r="I280" s="146"/>
      <c r="J280" s="175"/>
      <c r="K280" s="146"/>
      <c r="L280" s="148"/>
      <c r="M280" s="146"/>
      <c r="N280" s="148"/>
      <c r="O280" s="146"/>
      <c r="P280" s="146"/>
      <c r="Q280" s="146"/>
      <c r="R280" s="150"/>
      <c r="S280" s="150"/>
      <c r="T280" s="139"/>
      <c r="U280" s="139"/>
      <c r="V280" s="139"/>
      <c r="W280" s="139"/>
      <c r="X280" s="150"/>
      <c r="Z280" s="149"/>
      <c r="AA280" s="149"/>
      <c r="AB280" s="149"/>
      <c r="AC280" s="149"/>
      <c r="AD280" s="149"/>
      <c r="AE280" s="149"/>
      <c r="AF280" s="149"/>
      <c r="AG280" s="149"/>
      <c r="AH280" s="149"/>
      <c r="AI280" s="149"/>
      <c r="AJ280" s="149"/>
      <c r="AK280" s="149"/>
      <c r="AL280" s="149"/>
      <c r="AT280" s="149"/>
      <c r="AZ280" s="149"/>
      <c r="BC280" s="139"/>
    </row>
    <row r="281" spans="2:55" s="151" customFormat="1" ht="10" x14ac:dyDescent="0.15">
      <c r="B281" s="139"/>
      <c r="C281" s="139"/>
      <c r="D281" s="139"/>
      <c r="E281" s="150"/>
      <c r="F281" s="139"/>
      <c r="G281" s="145"/>
      <c r="H281" s="139"/>
      <c r="I281" s="146"/>
      <c r="J281" s="175"/>
      <c r="K281" s="146"/>
      <c r="L281" s="148"/>
      <c r="M281" s="146"/>
      <c r="N281" s="148"/>
      <c r="O281" s="146"/>
      <c r="P281" s="146"/>
      <c r="Q281" s="146"/>
      <c r="R281" s="150"/>
      <c r="S281" s="150"/>
      <c r="T281" s="139"/>
      <c r="U281" s="139"/>
      <c r="V281" s="139"/>
      <c r="W281" s="139"/>
      <c r="X281" s="150"/>
      <c r="Z281" s="149"/>
      <c r="AA281" s="149"/>
      <c r="AB281" s="149"/>
      <c r="AC281" s="149"/>
      <c r="AD281" s="149"/>
      <c r="AE281" s="149"/>
      <c r="AF281" s="149"/>
      <c r="AG281" s="149"/>
      <c r="AH281" s="149"/>
      <c r="AI281" s="149"/>
      <c r="AJ281" s="149"/>
      <c r="AK281" s="149"/>
      <c r="AL281" s="149"/>
      <c r="AT281" s="149"/>
      <c r="AZ281" s="149"/>
      <c r="BC281" s="139"/>
    </row>
    <row r="282" spans="2:55" s="151" customFormat="1" ht="10" x14ac:dyDescent="0.15">
      <c r="B282" s="139"/>
      <c r="C282" s="139"/>
      <c r="D282" s="139"/>
      <c r="E282" s="150"/>
      <c r="F282" s="139"/>
      <c r="G282" s="145"/>
      <c r="H282" s="139"/>
      <c r="I282" s="146"/>
      <c r="J282" s="175"/>
      <c r="K282" s="146"/>
      <c r="L282" s="148"/>
      <c r="M282" s="146"/>
      <c r="N282" s="148"/>
      <c r="O282" s="146"/>
      <c r="P282" s="146"/>
      <c r="Q282" s="146"/>
      <c r="R282" s="150"/>
      <c r="S282" s="150"/>
      <c r="T282" s="139"/>
      <c r="U282" s="139"/>
      <c r="V282" s="139"/>
      <c r="W282" s="139"/>
      <c r="X282" s="150"/>
      <c r="Z282" s="149"/>
      <c r="AA282" s="149"/>
      <c r="AB282" s="149"/>
      <c r="AC282" s="149"/>
      <c r="AD282" s="149"/>
      <c r="AE282" s="149"/>
      <c r="AF282" s="149"/>
      <c r="AG282" s="149"/>
      <c r="AH282" s="149"/>
      <c r="AI282" s="149"/>
      <c r="AJ282" s="149"/>
      <c r="AK282" s="149"/>
      <c r="AL282" s="149"/>
      <c r="AT282" s="149"/>
      <c r="AZ282" s="149"/>
      <c r="BC282" s="139"/>
    </row>
    <row r="283" spans="2:55" s="151" customFormat="1" ht="10" x14ac:dyDescent="0.15">
      <c r="B283" s="139"/>
      <c r="C283" s="139"/>
      <c r="D283" s="139"/>
      <c r="E283" s="150"/>
      <c r="F283" s="139"/>
      <c r="G283" s="145"/>
      <c r="H283" s="139"/>
      <c r="I283" s="146"/>
      <c r="J283" s="175"/>
      <c r="K283" s="146"/>
      <c r="L283" s="148"/>
      <c r="M283" s="146"/>
      <c r="N283" s="148"/>
      <c r="O283" s="146"/>
      <c r="P283" s="146"/>
      <c r="Q283" s="146"/>
      <c r="R283" s="150"/>
      <c r="S283" s="150"/>
      <c r="T283" s="139"/>
      <c r="U283" s="139"/>
      <c r="V283" s="139"/>
      <c r="W283" s="139"/>
      <c r="X283" s="150"/>
      <c r="Z283" s="149"/>
      <c r="AA283" s="149"/>
      <c r="AB283" s="149"/>
      <c r="AC283" s="149"/>
      <c r="AD283" s="149"/>
      <c r="AE283" s="149"/>
      <c r="AF283" s="149"/>
      <c r="AG283" s="149"/>
      <c r="AH283" s="149"/>
      <c r="AI283" s="149"/>
      <c r="AJ283" s="149"/>
      <c r="AK283" s="149"/>
      <c r="AL283" s="149"/>
      <c r="AT283" s="149"/>
      <c r="AZ283" s="149"/>
      <c r="BC283" s="139"/>
    </row>
    <row r="284" spans="2:55" s="151" customFormat="1" ht="10" x14ac:dyDescent="0.15">
      <c r="B284" s="139"/>
      <c r="C284" s="139"/>
      <c r="D284" s="139"/>
      <c r="E284" s="150"/>
      <c r="F284" s="139"/>
      <c r="G284" s="145"/>
      <c r="H284" s="139"/>
      <c r="I284" s="146"/>
      <c r="J284" s="175"/>
      <c r="K284" s="146"/>
      <c r="L284" s="148"/>
      <c r="M284" s="146"/>
      <c r="N284" s="148"/>
      <c r="O284" s="146"/>
      <c r="P284" s="146"/>
      <c r="Q284" s="146"/>
      <c r="R284" s="150"/>
      <c r="S284" s="150"/>
      <c r="T284" s="139"/>
      <c r="U284" s="139"/>
      <c r="V284" s="139"/>
      <c r="W284" s="139"/>
      <c r="X284" s="150"/>
      <c r="Z284" s="149"/>
      <c r="AA284" s="149"/>
      <c r="AB284" s="149"/>
      <c r="AC284" s="149"/>
      <c r="AD284" s="149"/>
      <c r="AE284" s="149"/>
      <c r="AF284" s="149"/>
      <c r="AG284" s="149"/>
      <c r="AH284" s="149"/>
      <c r="AI284" s="149"/>
      <c r="AJ284" s="149"/>
      <c r="AK284" s="149"/>
      <c r="AL284" s="149"/>
      <c r="AT284" s="149"/>
      <c r="AZ284" s="149"/>
      <c r="BC284" s="139"/>
    </row>
    <row r="285" spans="2:55" s="151" customFormat="1" ht="10" x14ac:dyDescent="0.15">
      <c r="B285" s="139"/>
      <c r="C285" s="139"/>
      <c r="D285" s="139"/>
      <c r="E285" s="150"/>
      <c r="F285" s="139"/>
      <c r="G285" s="145"/>
      <c r="H285" s="139"/>
      <c r="I285" s="146"/>
      <c r="J285" s="175"/>
      <c r="K285" s="146"/>
      <c r="L285" s="148"/>
      <c r="M285" s="146"/>
      <c r="N285" s="148"/>
      <c r="O285" s="146"/>
      <c r="P285" s="146"/>
      <c r="Q285" s="146"/>
      <c r="R285" s="150"/>
      <c r="S285" s="150"/>
      <c r="T285" s="139"/>
      <c r="U285" s="139"/>
      <c r="V285" s="139"/>
      <c r="W285" s="139"/>
      <c r="X285" s="150"/>
      <c r="Z285" s="149"/>
      <c r="AA285" s="149"/>
      <c r="AB285" s="149"/>
      <c r="AC285" s="149"/>
      <c r="AD285" s="149"/>
      <c r="AE285" s="149"/>
      <c r="AF285" s="149"/>
      <c r="AG285" s="149"/>
      <c r="AH285" s="149"/>
      <c r="AI285" s="149"/>
      <c r="AJ285" s="149"/>
      <c r="AK285" s="149"/>
      <c r="AL285" s="149"/>
      <c r="AT285" s="149"/>
      <c r="AZ285" s="149"/>
      <c r="BC285" s="139"/>
    </row>
    <row r="286" spans="2:55" s="151" customFormat="1" ht="10" x14ac:dyDescent="0.15">
      <c r="B286" s="139"/>
      <c r="C286" s="139"/>
      <c r="D286" s="139"/>
      <c r="E286" s="150"/>
      <c r="F286" s="139"/>
      <c r="G286" s="145"/>
      <c r="H286" s="139"/>
      <c r="I286" s="146"/>
      <c r="J286" s="175"/>
      <c r="K286" s="146"/>
      <c r="L286" s="148"/>
      <c r="M286" s="146"/>
      <c r="N286" s="148"/>
      <c r="O286" s="146"/>
      <c r="P286" s="146"/>
      <c r="Q286" s="146"/>
      <c r="R286" s="150"/>
      <c r="S286" s="150"/>
      <c r="T286" s="139"/>
      <c r="U286" s="139"/>
      <c r="V286" s="139"/>
      <c r="W286" s="139"/>
      <c r="X286" s="150"/>
      <c r="Z286" s="149"/>
      <c r="AA286" s="149"/>
      <c r="AB286" s="149"/>
      <c r="AC286" s="149"/>
      <c r="AD286" s="149"/>
      <c r="AE286" s="149"/>
      <c r="AF286" s="149"/>
      <c r="AG286" s="149"/>
      <c r="AH286" s="149"/>
      <c r="AI286" s="149"/>
      <c r="AJ286" s="149"/>
      <c r="AK286" s="149"/>
      <c r="AL286" s="149"/>
      <c r="AT286" s="149"/>
      <c r="AZ286" s="149"/>
      <c r="BC286" s="139"/>
    </row>
    <row r="287" spans="2:55" s="151" customFormat="1" ht="10" x14ac:dyDescent="0.15">
      <c r="B287" s="139"/>
      <c r="C287" s="139"/>
      <c r="D287" s="139"/>
      <c r="E287" s="150"/>
      <c r="F287" s="139"/>
      <c r="G287" s="145"/>
      <c r="H287" s="139"/>
      <c r="I287" s="146"/>
      <c r="J287" s="175"/>
      <c r="K287" s="146"/>
      <c r="L287" s="148"/>
      <c r="M287" s="146"/>
      <c r="N287" s="148"/>
      <c r="O287" s="146"/>
      <c r="P287" s="146"/>
      <c r="Q287" s="146"/>
      <c r="R287" s="150"/>
      <c r="S287" s="150"/>
      <c r="T287" s="139"/>
      <c r="U287" s="139"/>
      <c r="V287" s="139"/>
      <c r="W287" s="139"/>
      <c r="X287" s="150"/>
      <c r="Z287" s="149"/>
      <c r="AA287" s="149"/>
      <c r="AB287" s="149"/>
      <c r="AC287" s="149"/>
      <c r="AD287" s="149"/>
      <c r="AE287" s="149"/>
      <c r="AF287" s="149"/>
      <c r="AG287" s="149"/>
      <c r="AH287" s="149"/>
      <c r="AI287" s="149"/>
      <c r="AJ287" s="149"/>
      <c r="AK287" s="149"/>
      <c r="AL287" s="149"/>
      <c r="AT287" s="149"/>
      <c r="AZ287" s="149"/>
      <c r="BC287" s="139"/>
    </row>
    <row r="288" spans="2:55" s="151" customFormat="1" ht="10" x14ac:dyDescent="0.15">
      <c r="B288" s="139"/>
      <c r="C288" s="139"/>
      <c r="D288" s="139"/>
      <c r="E288" s="150"/>
      <c r="F288" s="139"/>
      <c r="G288" s="145"/>
      <c r="H288" s="139"/>
      <c r="I288" s="146"/>
      <c r="J288" s="175"/>
      <c r="K288" s="146"/>
      <c r="L288" s="148"/>
      <c r="M288" s="146"/>
      <c r="N288" s="148"/>
      <c r="O288" s="146"/>
      <c r="P288" s="146"/>
      <c r="Q288" s="146"/>
      <c r="R288" s="150"/>
      <c r="S288" s="150"/>
      <c r="T288" s="139"/>
      <c r="U288" s="139"/>
      <c r="V288" s="139"/>
      <c r="W288" s="139"/>
      <c r="X288" s="150"/>
      <c r="Z288" s="149"/>
      <c r="AA288" s="149"/>
      <c r="AB288" s="149"/>
      <c r="AC288" s="149"/>
      <c r="AD288" s="149"/>
      <c r="AE288" s="149"/>
      <c r="AF288" s="149"/>
      <c r="AG288" s="149"/>
      <c r="AH288" s="149"/>
      <c r="AI288" s="149"/>
      <c r="AJ288" s="149"/>
      <c r="AK288" s="149"/>
      <c r="AL288" s="149"/>
      <c r="AT288" s="149"/>
      <c r="AZ288" s="149"/>
      <c r="BC288" s="139"/>
    </row>
    <row r="289" spans="2:55" s="151" customFormat="1" ht="10" x14ac:dyDescent="0.15">
      <c r="B289" s="139"/>
      <c r="C289" s="139"/>
      <c r="D289" s="139"/>
      <c r="E289" s="150"/>
      <c r="F289" s="139"/>
      <c r="G289" s="145"/>
      <c r="H289" s="139"/>
      <c r="I289" s="146"/>
      <c r="J289" s="175"/>
      <c r="K289" s="146"/>
      <c r="L289" s="148"/>
      <c r="M289" s="146"/>
      <c r="N289" s="148"/>
      <c r="O289" s="146"/>
      <c r="P289" s="146"/>
      <c r="Q289" s="146"/>
      <c r="R289" s="150"/>
      <c r="S289" s="150"/>
      <c r="T289" s="139"/>
      <c r="U289" s="139"/>
      <c r="V289" s="139"/>
      <c r="W289" s="139"/>
      <c r="X289" s="150"/>
      <c r="Z289" s="149"/>
      <c r="AA289" s="149"/>
      <c r="AB289" s="149"/>
      <c r="AC289" s="149"/>
      <c r="AD289" s="149"/>
      <c r="AE289" s="149"/>
      <c r="AF289" s="149"/>
      <c r="AG289" s="149"/>
      <c r="AH289" s="149"/>
      <c r="AI289" s="149"/>
      <c r="AJ289" s="149"/>
      <c r="AK289" s="149"/>
      <c r="AL289" s="149"/>
      <c r="AT289" s="149"/>
      <c r="AZ289" s="149"/>
      <c r="BC289" s="139"/>
    </row>
    <row r="290" spans="2:55" s="151" customFormat="1" ht="10" x14ac:dyDescent="0.15">
      <c r="B290" s="139"/>
      <c r="C290" s="139"/>
      <c r="D290" s="139"/>
      <c r="E290" s="150"/>
      <c r="F290" s="139"/>
      <c r="G290" s="145"/>
      <c r="H290" s="139"/>
      <c r="I290" s="146"/>
      <c r="J290" s="175"/>
      <c r="K290" s="146"/>
      <c r="L290" s="148"/>
      <c r="M290" s="146"/>
      <c r="N290" s="148"/>
      <c r="O290" s="146"/>
      <c r="P290" s="146"/>
      <c r="Q290" s="146"/>
      <c r="R290" s="150"/>
      <c r="S290" s="150"/>
      <c r="T290" s="139"/>
      <c r="U290" s="139"/>
      <c r="V290" s="139"/>
      <c r="W290" s="139"/>
      <c r="X290" s="150"/>
      <c r="Z290" s="149"/>
      <c r="AA290" s="149"/>
      <c r="AB290" s="149"/>
      <c r="AC290" s="149"/>
      <c r="AD290" s="149"/>
      <c r="AE290" s="149"/>
      <c r="AF290" s="149"/>
      <c r="AG290" s="149"/>
      <c r="AH290" s="149"/>
      <c r="AI290" s="149"/>
      <c r="AJ290" s="149"/>
      <c r="AK290" s="149"/>
      <c r="AL290" s="149"/>
      <c r="AT290" s="149"/>
      <c r="AZ290" s="149"/>
      <c r="BC290" s="139"/>
    </row>
    <row r="291" spans="2:55" s="151" customFormat="1" ht="10" x14ac:dyDescent="0.15">
      <c r="B291" s="139"/>
      <c r="C291" s="139"/>
      <c r="D291" s="139"/>
      <c r="E291" s="150"/>
      <c r="F291" s="139"/>
      <c r="G291" s="145"/>
      <c r="H291" s="139"/>
      <c r="I291" s="146"/>
      <c r="J291" s="175"/>
      <c r="K291" s="146"/>
      <c r="L291" s="148"/>
      <c r="M291" s="146"/>
      <c r="N291" s="148"/>
      <c r="O291" s="146"/>
      <c r="P291" s="146"/>
      <c r="Q291" s="146"/>
      <c r="R291" s="150"/>
      <c r="S291" s="150"/>
      <c r="T291" s="139"/>
      <c r="U291" s="139"/>
      <c r="V291" s="139"/>
      <c r="W291" s="139"/>
      <c r="X291" s="150"/>
      <c r="Z291" s="149"/>
      <c r="AA291" s="149"/>
      <c r="AB291" s="149"/>
      <c r="AC291" s="149"/>
      <c r="AD291" s="149"/>
      <c r="AE291" s="149"/>
      <c r="AF291" s="149"/>
      <c r="AG291" s="149"/>
      <c r="AH291" s="149"/>
      <c r="AI291" s="149"/>
      <c r="AJ291" s="149"/>
      <c r="AK291" s="149"/>
      <c r="AL291" s="149"/>
      <c r="AT291" s="149"/>
      <c r="AZ291" s="149"/>
      <c r="BC291" s="139"/>
    </row>
    <row r="292" spans="2:55" s="151" customFormat="1" ht="10" x14ac:dyDescent="0.15">
      <c r="B292" s="139"/>
      <c r="C292" s="139"/>
      <c r="D292" s="139"/>
      <c r="E292" s="150"/>
      <c r="F292" s="139"/>
      <c r="G292" s="145"/>
      <c r="H292" s="139"/>
      <c r="I292" s="146"/>
      <c r="J292" s="175"/>
      <c r="K292" s="146"/>
      <c r="L292" s="148"/>
      <c r="M292" s="146"/>
      <c r="N292" s="148"/>
      <c r="O292" s="146"/>
      <c r="P292" s="146"/>
      <c r="Q292" s="146"/>
      <c r="R292" s="150"/>
      <c r="S292" s="150"/>
      <c r="T292" s="139"/>
      <c r="U292" s="139"/>
      <c r="V292" s="139"/>
      <c r="W292" s="139"/>
      <c r="X292" s="150"/>
      <c r="Z292" s="149"/>
      <c r="AA292" s="149"/>
      <c r="AB292" s="149"/>
      <c r="AC292" s="149"/>
      <c r="AD292" s="149"/>
      <c r="AE292" s="149"/>
      <c r="AF292" s="149"/>
      <c r="AG292" s="149"/>
      <c r="AH292" s="149"/>
      <c r="AI292" s="149"/>
      <c r="AJ292" s="149"/>
      <c r="AK292" s="149"/>
      <c r="AL292" s="149"/>
      <c r="AT292" s="149"/>
      <c r="AZ292" s="149"/>
      <c r="BC292" s="139"/>
    </row>
    <row r="293" spans="2:55" s="151" customFormat="1" ht="10" x14ac:dyDescent="0.15">
      <c r="B293" s="139"/>
      <c r="C293" s="139"/>
      <c r="D293" s="139"/>
      <c r="E293" s="150"/>
      <c r="F293" s="139"/>
      <c r="G293" s="145"/>
      <c r="H293" s="139"/>
      <c r="I293" s="146"/>
      <c r="J293" s="175"/>
      <c r="K293" s="146"/>
      <c r="L293" s="148"/>
      <c r="M293" s="146"/>
      <c r="N293" s="148"/>
      <c r="O293" s="146"/>
      <c r="P293" s="146"/>
      <c r="Q293" s="146"/>
      <c r="R293" s="150"/>
      <c r="S293" s="150"/>
      <c r="T293" s="139"/>
      <c r="U293" s="139"/>
      <c r="V293" s="139"/>
      <c r="W293" s="139"/>
      <c r="X293" s="150"/>
      <c r="Z293" s="149"/>
      <c r="AA293" s="149"/>
      <c r="AB293" s="149"/>
      <c r="AC293" s="149"/>
      <c r="AD293" s="149"/>
      <c r="AE293" s="149"/>
      <c r="AF293" s="149"/>
      <c r="AG293" s="149"/>
      <c r="AH293" s="149"/>
      <c r="AI293" s="149"/>
      <c r="AJ293" s="149"/>
      <c r="AK293" s="149"/>
      <c r="AL293" s="149"/>
      <c r="AT293" s="149"/>
      <c r="AZ293" s="149"/>
      <c r="BC293" s="139"/>
    </row>
    <row r="294" spans="2:55" s="151" customFormat="1" ht="10" x14ac:dyDescent="0.15">
      <c r="B294" s="139"/>
      <c r="C294" s="139"/>
      <c r="D294" s="139"/>
      <c r="E294" s="150"/>
      <c r="F294" s="139"/>
      <c r="G294" s="145"/>
      <c r="H294" s="139"/>
      <c r="I294" s="146"/>
      <c r="J294" s="175"/>
      <c r="K294" s="146"/>
      <c r="L294" s="148"/>
      <c r="M294" s="146"/>
      <c r="N294" s="148"/>
      <c r="O294" s="146"/>
      <c r="P294" s="146"/>
      <c r="Q294" s="146"/>
      <c r="R294" s="150"/>
      <c r="S294" s="150"/>
      <c r="T294" s="139"/>
      <c r="U294" s="139"/>
      <c r="V294" s="139"/>
      <c r="W294" s="139"/>
      <c r="X294" s="150"/>
      <c r="Z294" s="149"/>
      <c r="AA294" s="149"/>
      <c r="AB294" s="149"/>
      <c r="AC294" s="149"/>
      <c r="AD294" s="149"/>
      <c r="AE294" s="149"/>
      <c r="AF294" s="149"/>
      <c r="AG294" s="149"/>
      <c r="AH294" s="149"/>
      <c r="AI294" s="149"/>
      <c r="AJ294" s="149"/>
      <c r="AK294" s="149"/>
      <c r="AL294" s="149"/>
      <c r="AT294" s="149"/>
      <c r="AZ294" s="149"/>
      <c r="BC294" s="139"/>
    </row>
    <row r="295" spans="2:55" s="151" customFormat="1" ht="10" x14ac:dyDescent="0.15">
      <c r="B295" s="139"/>
      <c r="C295" s="139"/>
      <c r="D295" s="139"/>
      <c r="E295" s="150"/>
      <c r="F295" s="139"/>
      <c r="G295" s="145"/>
      <c r="H295" s="139"/>
      <c r="I295" s="146"/>
      <c r="J295" s="175"/>
      <c r="K295" s="146"/>
      <c r="L295" s="148"/>
      <c r="M295" s="146"/>
      <c r="N295" s="148"/>
      <c r="O295" s="146"/>
      <c r="P295" s="146"/>
      <c r="Q295" s="146"/>
      <c r="R295" s="150"/>
      <c r="S295" s="150"/>
      <c r="T295" s="139"/>
      <c r="U295" s="139"/>
      <c r="V295" s="139"/>
      <c r="W295" s="139"/>
      <c r="X295" s="150"/>
      <c r="Z295" s="149"/>
      <c r="AA295" s="149"/>
      <c r="AB295" s="149"/>
      <c r="AC295" s="149"/>
      <c r="AD295" s="149"/>
      <c r="AE295" s="149"/>
      <c r="AF295" s="149"/>
      <c r="AG295" s="149"/>
      <c r="AH295" s="149"/>
      <c r="AI295" s="149"/>
      <c r="AJ295" s="149"/>
      <c r="AK295" s="149"/>
      <c r="AL295" s="149"/>
      <c r="AT295" s="149"/>
      <c r="AZ295" s="149"/>
      <c r="BC295" s="139"/>
    </row>
    <row r="296" spans="2:55" s="151" customFormat="1" ht="10" x14ac:dyDescent="0.15">
      <c r="B296" s="139"/>
      <c r="C296" s="139"/>
      <c r="D296" s="139"/>
      <c r="E296" s="150"/>
      <c r="F296" s="139"/>
      <c r="G296" s="145"/>
      <c r="H296" s="139"/>
      <c r="I296" s="146"/>
      <c r="J296" s="175"/>
      <c r="K296" s="146"/>
      <c r="L296" s="148"/>
      <c r="M296" s="146"/>
      <c r="N296" s="148"/>
      <c r="O296" s="146"/>
      <c r="P296" s="146"/>
      <c r="Q296" s="146"/>
      <c r="R296" s="150"/>
      <c r="S296" s="150"/>
      <c r="T296" s="139"/>
      <c r="U296" s="139"/>
      <c r="V296" s="139"/>
      <c r="W296" s="139"/>
      <c r="X296" s="150"/>
      <c r="Z296" s="149"/>
      <c r="AA296" s="149"/>
      <c r="AB296" s="149"/>
      <c r="AC296" s="149"/>
      <c r="AD296" s="149"/>
      <c r="AE296" s="149"/>
      <c r="AF296" s="149"/>
      <c r="AG296" s="149"/>
      <c r="AH296" s="149"/>
      <c r="AI296" s="149"/>
      <c r="AJ296" s="149"/>
      <c r="AK296" s="149"/>
      <c r="AL296" s="149"/>
      <c r="AT296" s="149"/>
      <c r="AZ296" s="149"/>
      <c r="BC296" s="139"/>
    </row>
    <row r="297" spans="2:55" s="151" customFormat="1" ht="10" x14ac:dyDescent="0.15">
      <c r="B297" s="139"/>
      <c r="C297" s="139"/>
      <c r="D297" s="139"/>
      <c r="E297" s="150"/>
      <c r="F297" s="139"/>
      <c r="G297" s="145"/>
      <c r="H297" s="139"/>
      <c r="I297" s="146"/>
      <c r="J297" s="175"/>
      <c r="K297" s="146"/>
      <c r="L297" s="148"/>
      <c r="M297" s="146"/>
      <c r="N297" s="148"/>
      <c r="O297" s="146"/>
      <c r="P297" s="146"/>
      <c r="Q297" s="146"/>
      <c r="R297" s="150"/>
      <c r="S297" s="150"/>
      <c r="T297" s="139"/>
      <c r="U297" s="139"/>
      <c r="V297" s="139"/>
      <c r="W297" s="139"/>
      <c r="X297" s="150"/>
      <c r="Z297" s="149"/>
      <c r="AA297" s="149"/>
      <c r="AB297" s="149"/>
      <c r="AC297" s="149"/>
      <c r="AD297" s="149"/>
      <c r="AE297" s="149"/>
      <c r="AF297" s="149"/>
      <c r="AG297" s="149"/>
      <c r="AH297" s="149"/>
      <c r="AI297" s="149"/>
      <c r="AJ297" s="149"/>
      <c r="AK297" s="149"/>
      <c r="AL297" s="149"/>
      <c r="AT297" s="149"/>
      <c r="AZ297" s="149"/>
      <c r="BC297" s="139"/>
    </row>
    <row r="298" spans="2:55" s="151" customFormat="1" ht="10" x14ac:dyDescent="0.15">
      <c r="B298" s="139"/>
      <c r="C298" s="139"/>
      <c r="D298" s="139"/>
      <c r="E298" s="150"/>
      <c r="F298" s="139"/>
      <c r="G298" s="145"/>
      <c r="H298" s="139"/>
      <c r="I298" s="146"/>
      <c r="J298" s="175"/>
      <c r="K298" s="146"/>
      <c r="L298" s="148"/>
      <c r="M298" s="146"/>
      <c r="N298" s="148"/>
      <c r="O298" s="146"/>
      <c r="P298" s="146"/>
      <c r="Q298" s="146"/>
      <c r="R298" s="150"/>
      <c r="S298" s="150"/>
      <c r="T298" s="139"/>
      <c r="U298" s="139"/>
      <c r="V298" s="139"/>
      <c r="W298" s="139"/>
      <c r="X298" s="150"/>
      <c r="Z298" s="149"/>
      <c r="AA298" s="149"/>
      <c r="AB298" s="149"/>
      <c r="AC298" s="149"/>
      <c r="AD298" s="149"/>
      <c r="AE298" s="149"/>
      <c r="AF298" s="149"/>
      <c r="AG298" s="149"/>
      <c r="AH298" s="149"/>
      <c r="AI298" s="149"/>
      <c r="AJ298" s="149"/>
      <c r="AK298" s="149"/>
      <c r="AL298" s="149"/>
      <c r="AT298" s="149"/>
      <c r="AZ298" s="149"/>
      <c r="BC298" s="139"/>
    </row>
    <row r="299" spans="2:55" s="151" customFormat="1" ht="10" x14ac:dyDescent="0.15">
      <c r="B299" s="139"/>
      <c r="C299" s="139"/>
      <c r="D299" s="139"/>
      <c r="E299" s="150"/>
      <c r="F299" s="139"/>
      <c r="G299" s="145"/>
      <c r="H299" s="139"/>
      <c r="I299" s="146"/>
      <c r="J299" s="175"/>
      <c r="K299" s="146"/>
      <c r="L299" s="148"/>
      <c r="M299" s="146"/>
      <c r="N299" s="148"/>
      <c r="O299" s="146"/>
      <c r="P299" s="146"/>
      <c r="Q299" s="146"/>
      <c r="R299" s="150"/>
      <c r="S299" s="150"/>
      <c r="T299" s="139"/>
      <c r="U299" s="139"/>
      <c r="V299" s="139"/>
      <c r="W299" s="139"/>
      <c r="X299" s="150"/>
      <c r="Z299" s="149"/>
      <c r="AA299" s="149"/>
      <c r="AB299" s="149"/>
      <c r="AC299" s="149"/>
      <c r="AD299" s="149"/>
      <c r="AE299" s="149"/>
      <c r="AF299" s="149"/>
      <c r="AG299" s="149"/>
      <c r="AH299" s="149"/>
      <c r="AI299" s="149"/>
      <c r="AJ299" s="149"/>
      <c r="AK299" s="149"/>
      <c r="AL299" s="149"/>
      <c r="AT299" s="149"/>
      <c r="AZ299" s="149"/>
      <c r="BC299" s="139"/>
    </row>
    <row r="300" spans="2:55" s="151" customFormat="1" ht="10" x14ac:dyDescent="0.15">
      <c r="B300" s="139"/>
      <c r="C300" s="139"/>
      <c r="D300" s="139"/>
      <c r="E300" s="150"/>
      <c r="F300" s="139"/>
      <c r="G300" s="145"/>
      <c r="H300" s="139"/>
      <c r="I300" s="146"/>
      <c r="J300" s="175"/>
      <c r="K300" s="146"/>
      <c r="L300" s="148"/>
      <c r="M300" s="146"/>
      <c r="N300" s="148"/>
      <c r="O300" s="146"/>
      <c r="P300" s="146"/>
      <c r="Q300" s="146"/>
      <c r="R300" s="150"/>
      <c r="S300" s="150"/>
      <c r="T300" s="139"/>
      <c r="U300" s="139"/>
      <c r="V300" s="139"/>
      <c r="W300" s="139"/>
      <c r="X300" s="150"/>
      <c r="Z300" s="149"/>
      <c r="AA300" s="149"/>
      <c r="AB300" s="149"/>
      <c r="AC300" s="149"/>
      <c r="AD300" s="149"/>
      <c r="AE300" s="149"/>
      <c r="AF300" s="149"/>
      <c r="AG300" s="149"/>
      <c r="AH300" s="149"/>
      <c r="AI300" s="149"/>
      <c r="AJ300" s="149"/>
      <c r="AK300" s="149"/>
      <c r="AL300" s="149"/>
      <c r="AT300" s="149"/>
      <c r="AZ300" s="149"/>
      <c r="BC300" s="139"/>
    </row>
    <row r="301" spans="2:55" s="151" customFormat="1" ht="10" x14ac:dyDescent="0.15">
      <c r="B301" s="139"/>
      <c r="C301" s="139"/>
      <c r="D301" s="139"/>
      <c r="E301" s="150"/>
      <c r="F301" s="139"/>
      <c r="G301" s="145"/>
      <c r="H301" s="139"/>
      <c r="I301" s="146"/>
      <c r="J301" s="175"/>
      <c r="K301" s="146"/>
      <c r="L301" s="148"/>
      <c r="M301" s="146"/>
      <c r="N301" s="148"/>
      <c r="O301" s="146"/>
      <c r="P301" s="146"/>
      <c r="Q301" s="146"/>
      <c r="R301" s="150"/>
      <c r="S301" s="150"/>
      <c r="T301" s="139"/>
      <c r="U301" s="139"/>
      <c r="V301" s="139"/>
      <c r="W301" s="139"/>
      <c r="X301" s="150"/>
      <c r="Z301" s="149"/>
      <c r="AA301" s="149"/>
      <c r="AB301" s="149"/>
      <c r="AC301" s="149"/>
      <c r="AD301" s="149"/>
      <c r="AE301" s="149"/>
      <c r="AF301" s="149"/>
      <c r="AG301" s="149"/>
      <c r="AH301" s="149"/>
      <c r="AI301" s="149"/>
      <c r="AJ301" s="149"/>
      <c r="AK301" s="149"/>
      <c r="AL301" s="149"/>
      <c r="AT301" s="149"/>
      <c r="AZ301" s="149"/>
      <c r="BC301" s="139"/>
    </row>
    <row r="302" spans="2:55" s="151" customFormat="1" ht="10" x14ac:dyDescent="0.15">
      <c r="B302" s="139"/>
      <c r="C302" s="139"/>
      <c r="D302" s="139"/>
      <c r="E302" s="150"/>
      <c r="F302" s="139"/>
      <c r="G302" s="145"/>
      <c r="H302" s="139"/>
      <c r="I302" s="146"/>
      <c r="J302" s="175"/>
      <c r="K302" s="146"/>
      <c r="L302" s="148"/>
      <c r="M302" s="146"/>
      <c r="N302" s="148"/>
      <c r="O302" s="146"/>
      <c r="P302" s="146"/>
      <c r="Q302" s="146"/>
      <c r="R302" s="150"/>
      <c r="S302" s="150"/>
      <c r="T302" s="139"/>
      <c r="U302" s="139"/>
      <c r="V302" s="139"/>
      <c r="W302" s="139"/>
      <c r="X302" s="150"/>
      <c r="Z302" s="149"/>
      <c r="AA302" s="149"/>
      <c r="AB302" s="149"/>
      <c r="AC302" s="149"/>
      <c r="AD302" s="149"/>
      <c r="AE302" s="149"/>
      <c r="AF302" s="149"/>
      <c r="AG302" s="149"/>
      <c r="AH302" s="149"/>
      <c r="AI302" s="149"/>
      <c r="AJ302" s="149"/>
      <c r="AK302" s="149"/>
      <c r="AL302" s="149"/>
      <c r="AT302" s="149"/>
      <c r="AZ302" s="149"/>
      <c r="BC302" s="139"/>
    </row>
    <row r="303" spans="2:55" s="151" customFormat="1" ht="10" x14ac:dyDescent="0.15">
      <c r="B303" s="139"/>
      <c r="C303" s="139"/>
      <c r="D303" s="139"/>
      <c r="E303" s="150"/>
      <c r="F303" s="139"/>
      <c r="G303" s="145"/>
      <c r="H303" s="139"/>
      <c r="I303" s="146"/>
      <c r="J303" s="175"/>
      <c r="K303" s="146"/>
      <c r="L303" s="148"/>
      <c r="M303" s="146"/>
      <c r="N303" s="148"/>
      <c r="O303" s="146"/>
      <c r="P303" s="146"/>
      <c r="Q303" s="146"/>
      <c r="R303" s="150"/>
      <c r="S303" s="150"/>
      <c r="T303" s="139"/>
      <c r="U303" s="139"/>
      <c r="V303" s="139"/>
      <c r="W303" s="139"/>
      <c r="X303" s="150"/>
      <c r="Z303" s="149"/>
      <c r="AA303" s="149"/>
      <c r="AB303" s="149"/>
      <c r="AC303" s="149"/>
      <c r="AD303" s="149"/>
      <c r="AE303" s="149"/>
      <c r="AF303" s="149"/>
      <c r="AG303" s="149"/>
      <c r="AH303" s="149"/>
      <c r="AI303" s="149"/>
      <c r="AJ303" s="149"/>
      <c r="AK303" s="149"/>
      <c r="AL303" s="149"/>
      <c r="AT303" s="149"/>
      <c r="AZ303" s="149"/>
      <c r="BC303" s="139"/>
    </row>
    <row r="304" spans="2:55" s="151" customFormat="1" ht="10" x14ac:dyDescent="0.15">
      <c r="B304" s="139"/>
      <c r="C304" s="139"/>
      <c r="D304" s="139"/>
      <c r="E304" s="150"/>
      <c r="F304" s="139"/>
      <c r="G304" s="145"/>
      <c r="H304" s="139"/>
      <c r="I304" s="146"/>
      <c r="J304" s="175"/>
      <c r="K304" s="146"/>
      <c r="L304" s="148"/>
      <c r="M304" s="146"/>
      <c r="N304" s="148"/>
      <c r="O304" s="146"/>
      <c r="P304" s="146"/>
      <c r="Q304" s="146"/>
      <c r="R304" s="150"/>
      <c r="S304" s="150"/>
      <c r="T304" s="139"/>
      <c r="U304" s="139"/>
      <c r="V304" s="139"/>
      <c r="W304" s="139"/>
      <c r="X304" s="150"/>
      <c r="Z304" s="149"/>
      <c r="AA304" s="149"/>
      <c r="AB304" s="149"/>
      <c r="AC304" s="149"/>
      <c r="AD304" s="149"/>
      <c r="AE304" s="149"/>
      <c r="AF304" s="149"/>
      <c r="AG304" s="149"/>
      <c r="AH304" s="149"/>
      <c r="AI304" s="149"/>
      <c r="AJ304" s="149"/>
      <c r="AK304" s="149"/>
      <c r="AL304" s="149"/>
      <c r="AT304" s="149"/>
      <c r="AZ304" s="149"/>
      <c r="BC304" s="139"/>
    </row>
    <row r="305" spans="2:55" s="151" customFormat="1" ht="10" x14ac:dyDescent="0.15">
      <c r="B305" s="139"/>
      <c r="C305" s="139"/>
      <c r="D305" s="139"/>
      <c r="E305" s="150"/>
      <c r="F305" s="139"/>
      <c r="G305" s="145"/>
      <c r="H305" s="139"/>
      <c r="I305" s="146"/>
      <c r="J305" s="175"/>
      <c r="K305" s="146"/>
      <c r="L305" s="148"/>
      <c r="M305" s="146"/>
      <c r="N305" s="148"/>
      <c r="O305" s="146"/>
      <c r="P305" s="146"/>
      <c r="Q305" s="146"/>
      <c r="R305" s="150"/>
      <c r="S305" s="150"/>
      <c r="T305" s="139"/>
      <c r="U305" s="139"/>
      <c r="V305" s="139"/>
      <c r="W305" s="139"/>
      <c r="X305" s="150"/>
      <c r="Z305" s="149"/>
      <c r="AA305" s="149"/>
      <c r="AB305" s="149"/>
      <c r="AC305" s="149"/>
      <c r="AD305" s="149"/>
      <c r="AE305" s="149"/>
      <c r="AF305" s="149"/>
      <c r="AG305" s="149"/>
      <c r="AH305" s="149"/>
      <c r="AI305" s="149"/>
      <c r="AJ305" s="149"/>
      <c r="AK305" s="149"/>
      <c r="AL305" s="149"/>
      <c r="AT305" s="149"/>
      <c r="AZ305" s="149"/>
      <c r="BC305" s="139"/>
    </row>
    <row r="306" spans="2:55" s="151" customFormat="1" ht="10" x14ac:dyDescent="0.15">
      <c r="B306" s="139"/>
      <c r="C306" s="139"/>
      <c r="D306" s="139"/>
      <c r="E306" s="150"/>
      <c r="F306" s="139"/>
      <c r="G306" s="145"/>
      <c r="H306" s="139"/>
      <c r="I306" s="146"/>
      <c r="J306" s="175"/>
      <c r="K306" s="146"/>
      <c r="L306" s="148"/>
      <c r="M306" s="146"/>
      <c r="N306" s="148"/>
      <c r="O306" s="146"/>
      <c r="P306" s="146"/>
      <c r="Q306" s="146"/>
      <c r="R306" s="150"/>
      <c r="S306" s="150"/>
      <c r="T306" s="139"/>
      <c r="U306" s="139"/>
      <c r="V306" s="139"/>
      <c r="W306" s="139"/>
      <c r="X306" s="150"/>
      <c r="Z306" s="149"/>
      <c r="AA306" s="149"/>
      <c r="AB306" s="149"/>
      <c r="AC306" s="149"/>
      <c r="AD306" s="149"/>
      <c r="AE306" s="149"/>
      <c r="AF306" s="149"/>
      <c r="AG306" s="149"/>
      <c r="AH306" s="149"/>
      <c r="AI306" s="149"/>
      <c r="AJ306" s="149"/>
      <c r="AK306" s="149"/>
      <c r="AL306" s="149"/>
      <c r="AT306" s="149"/>
      <c r="AZ306" s="149"/>
      <c r="BC306" s="139"/>
    </row>
    <row r="307" spans="2:55" s="151" customFormat="1" ht="10" x14ac:dyDescent="0.15">
      <c r="B307" s="139"/>
      <c r="C307" s="139"/>
      <c r="D307" s="139"/>
      <c r="E307" s="150"/>
      <c r="F307" s="139"/>
      <c r="G307" s="145"/>
      <c r="H307" s="139"/>
      <c r="I307" s="146"/>
      <c r="J307" s="175"/>
      <c r="K307" s="146"/>
      <c r="L307" s="148"/>
      <c r="M307" s="146"/>
      <c r="N307" s="148"/>
      <c r="O307" s="146"/>
      <c r="P307" s="146"/>
      <c r="Q307" s="146"/>
      <c r="R307" s="150"/>
      <c r="S307" s="150"/>
      <c r="T307" s="139"/>
      <c r="U307" s="139"/>
      <c r="V307" s="139"/>
      <c r="W307" s="139"/>
      <c r="X307" s="150"/>
      <c r="Z307" s="149"/>
      <c r="AA307" s="149"/>
      <c r="AB307" s="149"/>
      <c r="AC307" s="149"/>
      <c r="AD307" s="149"/>
      <c r="AE307" s="149"/>
      <c r="AF307" s="149"/>
      <c r="AG307" s="149"/>
      <c r="AH307" s="149"/>
      <c r="AI307" s="149"/>
      <c r="AJ307" s="149"/>
      <c r="AK307" s="149"/>
      <c r="AL307" s="149"/>
      <c r="AT307" s="149"/>
      <c r="AZ307" s="149"/>
      <c r="BC307" s="139"/>
    </row>
    <row r="308" spans="2:55" s="151" customFormat="1" ht="10" x14ac:dyDescent="0.15">
      <c r="B308" s="139"/>
      <c r="C308" s="139"/>
      <c r="D308" s="139"/>
      <c r="E308" s="150"/>
      <c r="F308" s="139"/>
      <c r="G308" s="145"/>
      <c r="H308" s="139"/>
      <c r="I308" s="146"/>
      <c r="J308" s="175"/>
      <c r="K308" s="146"/>
      <c r="L308" s="148"/>
      <c r="M308" s="146"/>
      <c r="N308" s="148"/>
      <c r="O308" s="146"/>
      <c r="P308" s="146"/>
      <c r="Q308" s="146"/>
      <c r="R308" s="150"/>
      <c r="S308" s="150"/>
      <c r="T308" s="139"/>
      <c r="U308" s="139"/>
      <c r="V308" s="139"/>
      <c r="W308" s="139"/>
      <c r="X308" s="150"/>
      <c r="Z308" s="149"/>
      <c r="AA308" s="149"/>
      <c r="AB308" s="149"/>
      <c r="AC308" s="149"/>
      <c r="AD308" s="149"/>
      <c r="AE308" s="149"/>
      <c r="AF308" s="149"/>
      <c r="AG308" s="149"/>
      <c r="AH308" s="149"/>
      <c r="AI308" s="149"/>
      <c r="AJ308" s="149"/>
      <c r="AK308" s="149"/>
      <c r="AL308" s="149"/>
      <c r="AT308" s="149"/>
      <c r="AZ308" s="149"/>
      <c r="BC308" s="139"/>
    </row>
    <row r="309" spans="2:55" s="151" customFormat="1" ht="10" x14ac:dyDescent="0.15">
      <c r="B309" s="139"/>
      <c r="C309" s="139"/>
      <c r="D309" s="139"/>
      <c r="E309" s="150"/>
      <c r="F309" s="139"/>
      <c r="G309" s="145"/>
      <c r="H309" s="139"/>
      <c r="I309" s="146"/>
      <c r="J309" s="175"/>
      <c r="K309" s="146"/>
      <c r="L309" s="148"/>
      <c r="M309" s="146"/>
      <c r="N309" s="148"/>
      <c r="O309" s="146"/>
      <c r="P309" s="146"/>
      <c r="Q309" s="146"/>
      <c r="R309" s="150"/>
      <c r="S309" s="150"/>
      <c r="T309" s="139"/>
      <c r="U309" s="139"/>
      <c r="V309" s="139"/>
      <c r="W309" s="139"/>
      <c r="X309" s="150"/>
      <c r="Z309" s="149"/>
      <c r="AA309" s="149"/>
      <c r="AB309" s="149"/>
      <c r="AC309" s="149"/>
      <c r="AD309" s="149"/>
      <c r="AE309" s="149"/>
      <c r="AF309" s="149"/>
      <c r="AG309" s="149"/>
      <c r="AH309" s="149"/>
      <c r="AI309" s="149"/>
      <c r="AJ309" s="149"/>
      <c r="AK309" s="149"/>
      <c r="AL309" s="149"/>
      <c r="AT309" s="149"/>
      <c r="AZ309" s="149"/>
      <c r="BC309" s="139"/>
    </row>
    <row r="310" spans="2:55" s="151" customFormat="1" ht="10" x14ac:dyDescent="0.15">
      <c r="B310" s="139"/>
      <c r="C310" s="139"/>
      <c r="D310" s="139"/>
      <c r="E310" s="150"/>
      <c r="F310" s="139"/>
      <c r="G310" s="145"/>
      <c r="H310" s="139"/>
      <c r="I310" s="146"/>
      <c r="J310" s="175"/>
      <c r="K310" s="146"/>
      <c r="L310" s="148"/>
      <c r="M310" s="146"/>
      <c r="N310" s="148"/>
      <c r="O310" s="146"/>
      <c r="P310" s="146"/>
      <c r="Q310" s="146"/>
      <c r="R310" s="150"/>
      <c r="S310" s="150"/>
      <c r="T310" s="139"/>
      <c r="U310" s="139"/>
      <c r="V310" s="139"/>
      <c r="W310" s="139"/>
      <c r="X310" s="150"/>
      <c r="Z310" s="149"/>
      <c r="AA310" s="149"/>
      <c r="AB310" s="149"/>
      <c r="AC310" s="149"/>
      <c r="AD310" s="149"/>
      <c r="AE310" s="149"/>
      <c r="AF310" s="149"/>
      <c r="AG310" s="149"/>
      <c r="AH310" s="149"/>
      <c r="AI310" s="149"/>
      <c r="AJ310" s="149"/>
      <c r="AK310" s="149"/>
      <c r="AL310" s="149"/>
      <c r="AT310" s="149"/>
      <c r="AZ310" s="149"/>
      <c r="BC310" s="139"/>
    </row>
    <row r="311" spans="2:55" s="151" customFormat="1" ht="10" x14ac:dyDescent="0.15">
      <c r="B311" s="139"/>
      <c r="C311" s="139"/>
      <c r="D311" s="139"/>
      <c r="E311" s="150"/>
      <c r="F311" s="139"/>
      <c r="G311" s="145"/>
      <c r="H311" s="139"/>
      <c r="I311" s="146"/>
      <c r="J311" s="175"/>
      <c r="K311" s="146"/>
      <c r="L311" s="148"/>
      <c r="M311" s="146"/>
      <c r="N311" s="148"/>
      <c r="O311" s="146"/>
      <c r="P311" s="146"/>
      <c r="Q311" s="146"/>
      <c r="R311" s="150"/>
      <c r="S311" s="150"/>
      <c r="T311" s="139"/>
      <c r="U311" s="139"/>
      <c r="V311" s="139"/>
      <c r="W311" s="139"/>
      <c r="X311" s="150"/>
      <c r="Z311" s="149"/>
      <c r="AA311" s="149"/>
      <c r="AB311" s="149"/>
      <c r="AC311" s="149"/>
      <c r="AD311" s="149"/>
      <c r="AE311" s="149"/>
      <c r="AF311" s="149"/>
      <c r="AG311" s="149"/>
      <c r="AH311" s="149"/>
      <c r="AI311" s="149"/>
      <c r="AJ311" s="149"/>
      <c r="AK311" s="149"/>
      <c r="AL311" s="149"/>
      <c r="AT311" s="149"/>
      <c r="AZ311" s="149"/>
      <c r="BC311" s="139"/>
    </row>
    <row r="312" spans="2:55" s="151" customFormat="1" ht="10" x14ac:dyDescent="0.15">
      <c r="B312" s="139"/>
      <c r="C312" s="139"/>
      <c r="D312" s="139"/>
      <c r="E312" s="150"/>
      <c r="F312" s="139"/>
      <c r="G312" s="145"/>
      <c r="H312" s="139"/>
      <c r="I312" s="146"/>
      <c r="J312" s="175"/>
      <c r="K312" s="146"/>
      <c r="L312" s="148"/>
      <c r="M312" s="146"/>
      <c r="N312" s="148"/>
      <c r="O312" s="146"/>
      <c r="P312" s="146"/>
      <c r="Q312" s="146"/>
      <c r="R312" s="150"/>
      <c r="S312" s="150"/>
      <c r="T312" s="139"/>
      <c r="U312" s="139"/>
      <c r="V312" s="139"/>
      <c r="W312" s="139"/>
      <c r="X312" s="150"/>
      <c r="Z312" s="149"/>
      <c r="AA312" s="149"/>
      <c r="AB312" s="149"/>
      <c r="AC312" s="149"/>
      <c r="AD312" s="149"/>
      <c r="AE312" s="149"/>
      <c r="AF312" s="149"/>
      <c r="AG312" s="149"/>
      <c r="AH312" s="149"/>
      <c r="AI312" s="149"/>
      <c r="AJ312" s="149"/>
      <c r="AK312" s="149"/>
      <c r="AL312" s="149"/>
      <c r="AT312" s="149"/>
      <c r="AZ312" s="149"/>
      <c r="BC312" s="139"/>
    </row>
    <row r="313" spans="2:55" s="151" customFormat="1" ht="10" x14ac:dyDescent="0.15">
      <c r="B313" s="139"/>
      <c r="C313" s="139"/>
      <c r="D313" s="139"/>
      <c r="E313" s="150"/>
      <c r="F313" s="139"/>
      <c r="G313" s="145"/>
      <c r="H313" s="139"/>
      <c r="I313" s="146"/>
      <c r="J313" s="175"/>
      <c r="K313" s="146"/>
      <c r="L313" s="148"/>
      <c r="M313" s="146"/>
      <c r="N313" s="148"/>
      <c r="O313" s="146"/>
      <c r="P313" s="146"/>
      <c r="Q313" s="146"/>
      <c r="R313" s="150"/>
      <c r="S313" s="150"/>
      <c r="T313" s="139"/>
      <c r="U313" s="139"/>
      <c r="V313" s="139"/>
      <c r="W313" s="139"/>
      <c r="X313" s="150"/>
      <c r="Z313" s="149"/>
      <c r="AA313" s="149"/>
      <c r="AB313" s="149"/>
      <c r="AC313" s="149"/>
      <c r="AD313" s="149"/>
      <c r="AE313" s="149"/>
      <c r="AF313" s="149"/>
      <c r="AG313" s="149"/>
      <c r="AH313" s="149"/>
      <c r="AI313" s="149"/>
      <c r="AJ313" s="149"/>
      <c r="AK313" s="149"/>
      <c r="AL313" s="149"/>
      <c r="AT313" s="149"/>
      <c r="AZ313" s="149"/>
      <c r="BC313" s="139"/>
    </row>
    <row r="314" spans="2:55" s="151" customFormat="1" ht="10" x14ac:dyDescent="0.15">
      <c r="B314" s="139"/>
      <c r="C314" s="139"/>
      <c r="D314" s="139"/>
      <c r="E314" s="150"/>
      <c r="F314" s="139"/>
      <c r="G314" s="145"/>
      <c r="H314" s="139"/>
      <c r="I314" s="146"/>
      <c r="J314" s="175"/>
      <c r="K314" s="146"/>
      <c r="L314" s="148"/>
      <c r="M314" s="146"/>
      <c r="N314" s="148"/>
      <c r="O314" s="146"/>
      <c r="P314" s="146"/>
      <c r="Q314" s="146"/>
      <c r="R314" s="150"/>
      <c r="S314" s="150"/>
      <c r="T314" s="139"/>
      <c r="U314" s="139"/>
      <c r="V314" s="139"/>
      <c r="W314" s="139"/>
      <c r="X314" s="150"/>
      <c r="Z314" s="149"/>
      <c r="AA314" s="149"/>
      <c r="AB314" s="149"/>
      <c r="AC314" s="149"/>
      <c r="AD314" s="149"/>
      <c r="AE314" s="149"/>
      <c r="AF314" s="149"/>
      <c r="AG314" s="149"/>
      <c r="AH314" s="149"/>
      <c r="AI314" s="149"/>
      <c r="AJ314" s="149"/>
      <c r="AK314" s="149"/>
      <c r="AL314" s="149"/>
      <c r="AT314" s="149"/>
      <c r="AZ314" s="149"/>
      <c r="BC314" s="139"/>
    </row>
    <row r="315" spans="2:55" s="151" customFormat="1" ht="10" x14ac:dyDescent="0.15">
      <c r="B315" s="139"/>
      <c r="C315" s="139"/>
      <c r="D315" s="139"/>
      <c r="E315" s="150"/>
      <c r="F315" s="139"/>
      <c r="G315" s="145"/>
      <c r="H315" s="139"/>
      <c r="I315" s="146"/>
      <c r="J315" s="175"/>
      <c r="K315" s="146"/>
      <c r="L315" s="148"/>
      <c r="M315" s="146"/>
      <c r="N315" s="148"/>
      <c r="O315" s="146"/>
      <c r="P315" s="146"/>
      <c r="Q315" s="146"/>
      <c r="R315" s="150"/>
      <c r="S315" s="150"/>
      <c r="T315" s="139"/>
      <c r="U315" s="139"/>
      <c r="V315" s="139"/>
      <c r="W315" s="139"/>
      <c r="X315" s="150"/>
      <c r="Z315" s="149"/>
      <c r="AA315" s="149"/>
      <c r="AB315" s="149"/>
      <c r="AC315" s="149"/>
      <c r="AD315" s="149"/>
      <c r="AE315" s="149"/>
      <c r="AF315" s="149"/>
      <c r="AG315" s="149"/>
      <c r="AH315" s="149"/>
      <c r="AI315" s="149"/>
      <c r="AJ315" s="149"/>
      <c r="AK315" s="149"/>
      <c r="AL315" s="149"/>
      <c r="AT315" s="149"/>
      <c r="AZ315" s="149"/>
      <c r="BC315" s="139"/>
    </row>
    <row r="316" spans="2:55" s="151" customFormat="1" ht="10" x14ac:dyDescent="0.15">
      <c r="B316" s="139"/>
      <c r="C316" s="139"/>
      <c r="D316" s="139"/>
      <c r="E316" s="150"/>
      <c r="F316" s="139"/>
      <c r="G316" s="145"/>
      <c r="H316" s="139"/>
      <c r="I316" s="146"/>
      <c r="J316" s="175"/>
      <c r="K316" s="146"/>
      <c r="L316" s="148"/>
      <c r="M316" s="146"/>
      <c r="N316" s="148"/>
      <c r="O316" s="146"/>
      <c r="P316" s="146"/>
      <c r="Q316" s="146"/>
      <c r="R316" s="150"/>
      <c r="S316" s="150"/>
      <c r="T316" s="139"/>
      <c r="U316" s="139"/>
      <c r="V316" s="139"/>
      <c r="W316" s="139"/>
      <c r="X316" s="150"/>
      <c r="Z316" s="149"/>
      <c r="AA316" s="149"/>
      <c r="AB316" s="149"/>
      <c r="AC316" s="149"/>
      <c r="AD316" s="149"/>
      <c r="AE316" s="149"/>
      <c r="AF316" s="149"/>
      <c r="AG316" s="149"/>
      <c r="AH316" s="149"/>
      <c r="AI316" s="149"/>
      <c r="AJ316" s="149"/>
      <c r="AK316" s="149"/>
      <c r="AL316" s="149"/>
      <c r="AT316" s="149"/>
      <c r="AZ316" s="149"/>
      <c r="BC316" s="139"/>
    </row>
    <row r="317" spans="2:55" s="151" customFormat="1" ht="10" x14ac:dyDescent="0.15">
      <c r="B317" s="139"/>
      <c r="C317" s="139"/>
      <c r="D317" s="139"/>
      <c r="E317" s="150"/>
      <c r="F317" s="139"/>
      <c r="G317" s="145"/>
      <c r="H317" s="139"/>
      <c r="I317" s="146"/>
      <c r="J317" s="175"/>
      <c r="K317" s="146"/>
      <c r="L317" s="148"/>
      <c r="M317" s="146"/>
      <c r="N317" s="148"/>
      <c r="O317" s="146"/>
      <c r="P317" s="146"/>
      <c r="Q317" s="146"/>
      <c r="R317" s="150"/>
      <c r="S317" s="150"/>
      <c r="T317" s="139"/>
      <c r="U317" s="139"/>
      <c r="V317" s="139"/>
      <c r="W317" s="139"/>
      <c r="X317" s="150"/>
      <c r="Z317" s="149"/>
      <c r="AA317" s="149"/>
      <c r="AB317" s="149"/>
      <c r="AC317" s="149"/>
      <c r="AD317" s="149"/>
      <c r="AE317" s="149"/>
      <c r="AF317" s="149"/>
      <c r="AG317" s="149"/>
      <c r="AH317" s="149"/>
      <c r="AI317" s="149"/>
      <c r="AJ317" s="149"/>
      <c r="AK317" s="149"/>
      <c r="AL317" s="149"/>
      <c r="AT317" s="149"/>
      <c r="AZ317" s="149"/>
      <c r="BC317" s="139"/>
    </row>
    <row r="318" spans="2:55" s="151" customFormat="1" ht="10" x14ac:dyDescent="0.15">
      <c r="B318" s="139"/>
      <c r="C318" s="139"/>
      <c r="D318" s="139"/>
      <c r="E318" s="150"/>
      <c r="F318" s="139"/>
      <c r="G318" s="145"/>
      <c r="H318" s="139"/>
      <c r="I318" s="146"/>
      <c r="J318" s="175"/>
      <c r="K318" s="146"/>
      <c r="L318" s="148"/>
      <c r="M318" s="146"/>
      <c r="N318" s="148"/>
      <c r="O318" s="146"/>
      <c r="P318" s="146"/>
      <c r="Q318" s="146"/>
      <c r="R318" s="150"/>
      <c r="S318" s="150"/>
      <c r="T318" s="139"/>
      <c r="U318" s="139"/>
      <c r="V318" s="139"/>
      <c r="W318" s="139"/>
      <c r="X318" s="150"/>
      <c r="Z318" s="149"/>
      <c r="AA318" s="149"/>
      <c r="AB318" s="149"/>
      <c r="AC318" s="149"/>
      <c r="AD318" s="149"/>
      <c r="AE318" s="149"/>
      <c r="AF318" s="149"/>
      <c r="AG318" s="149"/>
      <c r="AH318" s="149"/>
      <c r="AI318" s="149"/>
      <c r="AJ318" s="149"/>
      <c r="AK318" s="149"/>
      <c r="AL318" s="149"/>
      <c r="AT318" s="149"/>
      <c r="AZ318" s="149"/>
      <c r="BC318" s="139"/>
    </row>
    <row r="319" spans="2:55" s="151" customFormat="1" ht="10" x14ac:dyDescent="0.15">
      <c r="B319" s="139"/>
      <c r="C319" s="139"/>
      <c r="D319" s="139"/>
      <c r="E319" s="150"/>
      <c r="F319" s="139"/>
      <c r="G319" s="145"/>
      <c r="H319" s="139"/>
      <c r="I319" s="146"/>
      <c r="J319" s="175"/>
      <c r="K319" s="146"/>
      <c r="L319" s="148"/>
      <c r="M319" s="146"/>
      <c r="N319" s="148"/>
      <c r="O319" s="146"/>
      <c r="P319" s="146"/>
      <c r="Q319" s="146"/>
      <c r="R319" s="150"/>
      <c r="S319" s="150"/>
      <c r="T319" s="139"/>
      <c r="U319" s="139"/>
      <c r="V319" s="139"/>
      <c r="W319" s="139"/>
      <c r="X319" s="150"/>
      <c r="Z319" s="149"/>
      <c r="AA319" s="149"/>
      <c r="AB319" s="149"/>
      <c r="AC319" s="149"/>
      <c r="AD319" s="149"/>
      <c r="AE319" s="149"/>
      <c r="AF319" s="149"/>
      <c r="AG319" s="149"/>
      <c r="AH319" s="149"/>
      <c r="AI319" s="149"/>
      <c r="AJ319" s="149"/>
      <c r="AK319" s="149"/>
      <c r="AL319" s="149"/>
      <c r="AT319" s="149"/>
      <c r="AZ319" s="149"/>
      <c r="BC319" s="139"/>
    </row>
    <row r="320" spans="2:55" s="151" customFormat="1" ht="10" x14ac:dyDescent="0.15">
      <c r="B320" s="139"/>
      <c r="C320" s="139"/>
      <c r="D320" s="139"/>
      <c r="E320" s="150"/>
      <c r="F320" s="139"/>
      <c r="G320" s="145"/>
      <c r="H320" s="139"/>
      <c r="I320" s="146"/>
      <c r="J320" s="175"/>
      <c r="K320" s="146"/>
      <c r="L320" s="148"/>
      <c r="M320" s="146"/>
      <c r="N320" s="148"/>
      <c r="O320" s="146"/>
      <c r="P320" s="146"/>
      <c r="Q320" s="146"/>
      <c r="R320" s="150"/>
      <c r="S320" s="150"/>
      <c r="T320" s="139"/>
      <c r="U320" s="139"/>
      <c r="V320" s="139"/>
      <c r="W320" s="139"/>
      <c r="X320" s="150"/>
      <c r="Z320" s="149"/>
      <c r="AA320" s="149"/>
      <c r="AB320" s="149"/>
      <c r="AC320" s="149"/>
      <c r="AD320" s="149"/>
      <c r="AE320" s="149"/>
      <c r="AF320" s="149"/>
      <c r="AG320" s="149"/>
      <c r="AH320" s="149"/>
      <c r="AI320" s="149"/>
      <c r="AJ320" s="149"/>
      <c r="AK320" s="149"/>
      <c r="AL320" s="149"/>
      <c r="AT320" s="149"/>
      <c r="AZ320" s="149"/>
      <c r="BC320" s="139"/>
    </row>
    <row r="321" spans="2:55" s="151" customFormat="1" ht="10" x14ac:dyDescent="0.15">
      <c r="B321" s="139"/>
      <c r="C321" s="139"/>
      <c r="D321" s="139"/>
      <c r="E321" s="150"/>
      <c r="F321" s="139"/>
      <c r="G321" s="145"/>
      <c r="H321" s="139"/>
      <c r="I321" s="146"/>
      <c r="J321" s="175"/>
      <c r="K321" s="146"/>
      <c r="L321" s="148"/>
      <c r="M321" s="146"/>
      <c r="N321" s="148"/>
      <c r="O321" s="146"/>
      <c r="P321" s="146"/>
      <c r="Q321" s="146"/>
      <c r="R321" s="150"/>
      <c r="S321" s="150"/>
      <c r="T321" s="139"/>
      <c r="U321" s="139"/>
      <c r="V321" s="139"/>
      <c r="W321" s="139"/>
      <c r="X321" s="150"/>
      <c r="Z321" s="149"/>
      <c r="AA321" s="149"/>
      <c r="AB321" s="149"/>
      <c r="AC321" s="149"/>
      <c r="AD321" s="149"/>
      <c r="AE321" s="149"/>
      <c r="AF321" s="149"/>
      <c r="AG321" s="149"/>
      <c r="AH321" s="149"/>
      <c r="AI321" s="149"/>
      <c r="AJ321" s="149"/>
      <c r="AK321" s="149"/>
      <c r="AL321" s="149"/>
      <c r="AT321" s="149"/>
      <c r="AZ321" s="149"/>
      <c r="BC321" s="139"/>
    </row>
    <row r="322" spans="2:55" s="151" customFormat="1" ht="10" x14ac:dyDescent="0.15">
      <c r="B322" s="139"/>
      <c r="C322" s="139"/>
      <c r="D322" s="139"/>
      <c r="E322" s="150"/>
      <c r="F322" s="139"/>
      <c r="G322" s="145"/>
      <c r="H322" s="139"/>
      <c r="I322" s="146"/>
      <c r="J322" s="175"/>
      <c r="K322" s="146"/>
      <c r="L322" s="148"/>
      <c r="M322" s="146"/>
      <c r="N322" s="148"/>
      <c r="O322" s="146"/>
      <c r="P322" s="146"/>
      <c r="Q322" s="146"/>
      <c r="R322" s="150"/>
      <c r="S322" s="150"/>
      <c r="T322" s="139"/>
      <c r="U322" s="139"/>
      <c r="V322" s="139"/>
      <c r="W322" s="139"/>
      <c r="X322" s="150"/>
      <c r="Z322" s="149"/>
      <c r="AA322" s="149"/>
      <c r="AB322" s="149"/>
      <c r="AC322" s="149"/>
      <c r="AD322" s="149"/>
      <c r="AE322" s="149"/>
      <c r="AF322" s="149"/>
      <c r="AG322" s="149"/>
      <c r="AH322" s="149"/>
      <c r="AI322" s="149"/>
      <c r="AJ322" s="149"/>
      <c r="AK322" s="149"/>
      <c r="AL322" s="149"/>
      <c r="AT322" s="149"/>
      <c r="AZ322" s="149"/>
      <c r="BC322" s="139"/>
    </row>
    <row r="323" spans="2:55" s="151" customFormat="1" ht="10" x14ac:dyDescent="0.15">
      <c r="B323" s="139"/>
      <c r="C323" s="139"/>
      <c r="D323" s="139"/>
      <c r="E323" s="150"/>
      <c r="F323" s="139"/>
      <c r="G323" s="145"/>
      <c r="H323" s="139"/>
      <c r="I323" s="146"/>
      <c r="J323" s="175"/>
      <c r="K323" s="146"/>
      <c r="L323" s="148"/>
      <c r="M323" s="146"/>
      <c r="N323" s="148"/>
      <c r="O323" s="146"/>
      <c r="P323" s="146"/>
      <c r="Q323" s="146"/>
      <c r="R323" s="150"/>
      <c r="S323" s="150"/>
      <c r="T323" s="139"/>
      <c r="U323" s="139"/>
      <c r="V323" s="139"/>
      <c r="W323" s="139"/>
      <c r="X323" s="150"/>
      <c r="Z323" s="149"/>
      <c r="AA323" s="149"/>
      <c r="AB323" s="149"/>
      <c r="AC323" s="149"/>
      <c r="AD323" s="149"/>
      <c r="AE323" s="149"/>
      <c r="AF323" s="149"/>
      <c r="AG323" s="149"/>
      <c r="AH323" s="149"/>
      <c r="AI323" s="149"/>
      <c r="AJ323" s="149"/>
      <c r="AK323" s="149"/>
      <c r="AL323" s="149"/>
      <c r="AT323" s="149"/>
      <c r="AZ323" s="149"/>
      <c r="BC323" s="139"/>
    </row>
    <row r="324" spans="2:55" s="151" customFormat="1" ht="10" x14ac:dyDescent="0.15">
      <c r="B324" s="139"/>
      <c r="C324" s="139"/>
      <c r="D324" s="139"/>
      <c r="E324" s="150"/>
      <c r="F324" s="139"/>
      <c r="G324" s="145"/>
      <c r="H324" s="139"/>
      <c r="I324" s="146"/>
      <c r="J324" s="175"/>
      <c r="K324" s="146"/>
      <c r="L324" s="148"/>
      <c r="M324" s="146"/>
      <c r="N324" s="148"/>
      <c r="O324" s="146"/>
      <c r="P324" s="146"/>
      <c r="Q324" s="146"/>
      <c r="R324" s="150"/>
      <c r="S324" s="150"/>
      <c r="T324" s="139"/>
      <c r="U324" s="139"/>
      <c r="V324" s="139"/>
      <c r="W324" s="139"/>
      <c r="X324" s="150"/>
      <c r="Z324" s="149"/>
      <c r="AA324" s="149"/>
      <c r="AB324" s="149"/>
      <c r="AC324" s="149"/>
      <c r="AD324" s="149"/>
      <c r="AE324" s="149"/>
      <c r="AF324" s="149"/>
      <c r="AG324" s="149"/>
      <c r="AH324" s="149"/>
      <c r="AI324" s="149"/>
      <c r="AJ324" s="149"/>
      <c r="AK324" s="149"/>
      <c r="AL324" s="149"/>
      <c r="AT324" s="149"/>
      <c r="AZ324" s="149"/>
      <c r="BC324" s="139"/>
    </row>
    <row r="325" spans="2:55" s="151" customFormat="1" ht="10" x14ac:dyDescent="0.15">
      <c r="B325" s="139"/>
      <c r="C325" s="139"/>
      <c r="D325" s="139"/>
      <c r="E325" s="150"/>
      <c r="F325" s="139"/>
      <c r="G325" s="145"/>
      <c r="H325" s="139"/>
      <c r="I325" s="146"/>
      <c r="J325" s="175"/>
      <c r="K325" s="146"/>
      <c r="L325" s="148"/>
      <c r="M325" s="146"/>
      <c r="N325" s="148"/>
      <c r="O325" s="146"/>
      <c r="P325" s="146"/>
      <c r="Q325" s="146"/>
      <c r="R325" s="150"/>
      <c r="S325" s="150"/>
      <c r="T325" s="139"/>
      <c r="U325" s="139"/>
      <c r="V325" s="139"/>
      <c r="W325" s="139"/>
      <c r="X325" s="150"/>
      <c r="Z325" s="149"/>
      <c r="AA325" s="149"/>
      <c r="AB325" s="149"/>
      <c r="AC325" s="149"/>
      <c r="AD325" s="149"/>
      <c r="AE325" s="149"/>
      <c r="AF325" s="149"/>
      <c r="AG325" s="149"/>
      <c r="AH325" s="149"/>
      <c r="AI325" s="149"/>
      <c r="AJ325" s="149"/>
      <c r="AK325" s="149"/>
      <c r="AL325" s="149"/>
      <c r="AT325" s="149"/>
      <c r="AZ325" s="149"/>
      <c r="BC325" s="139"/>
    </row>
    <row r="326" spans="2:55" s="151" customFormat="1" ht="10" x14ac:dyDescent="0.15">
      <c r="B326" s="139"/>
      <c r="C326" s="139"/>
      <c r="D326" s="139"/>
      <c r="E326" s="150"/>
      <c r="F326" s="139"/>
      <c r="G326" s="145"/>
      <c r="H326" s="139"/>
      <c r="I326" s="146"/>
      <c r="J326" s="175"/>
      <c r="K326" s="146"/>
      <c r="L326" s="148"/>
      <c r="M326" s="146"/>
      <c r="N326" s="148"/>
      <c r="O326" s="146"/>
      <c r="P326" s="146"/>
      <c r="Q326" s="146"/>
      <c r="R326" s="150"/>
      <c r="S326" s="150"/>
      <c r="T326" s="139"/>
      <c r="U326" s="139"/>
      <c r="V326" s="139"/>
      <c r="W326" s="139"/>
      <c r="X326" s="150"/>
      <c r="Z326" s="149"/>
      <c r="AA326" s="149"/>
      <c r="AB326" s="149"/>
      <c r="AC326" s="149"/>
      <c r="AD326" s="149"/>
      <c r="AE326" s="149"/>
      <c r="AF326" s="149"/>
      <c r="AG326" s="149"/>
      <c r="AH326" s="149"/>
      <c r="AI326" s="149"/>
      <c r="AJ326" s="149"/>
      <c r="AK326" s="149"/>
      <c r="AL326" s="149"/>
      <c r="AT326" s="149"/>
      <c r="AZ326" s="149"/>
      <c r="BC326" s="139"/>
    </row>
    <row r="327" spans="2:55" s="151" customFormat="1" ht="10" x14ac:dyDescent="0.15">
      <c r="B327" s="139"/>
      <c r="C327" s="139"/>
      <c r="D327" s="139"/>
      <c r="E327" s="150"/>
      <c r="F327" s="139"/>
      <c r="G327" s="145"/>
      <c r="H327" s="139"/>
      <c r="I327" s="146"/>
      <c r="J327" s="175"/>
      <c r="K327" s="146"/>
      <c r="L327" s="148"/>
      <c r="M327" s="146"/>
      <c r="N327" s="148"/>
      <c r="O327" s="146"/>
      <c r="P327" s="146"/>
      <c r="Q327" s="146"/>
      <c r="R327" s="150"/>
      <c r="S327" s="150"/>
      <c r="T327" s="139"/>
      <c r="U327" s="139"/>
      <c r="V327" s="139"/>
      <c r="W327" s="139"/>
      <c r="X327" s="150"/>
      <c r="Z327" s="149"/>
      <c r="AA327" s="149"/>
      <c r="AB327" s="149"/>
      <c r="AC327" s="149"/>
      <c r="AD327" s="149"/>
      <c r="AE327" s="149"/>
      <c r="AF327" s="149"/>
      <c r="AG327" s="149"/>
      <c r="AH327" s="149"/>
      <c r="AI327" s="149"/>
      <c r="AJ327" s="149"/>
      <c r="AK327" s="149"/>
      <c r="AL327" s="149"/>
      <c r="AT327" s="149"/>
      <c r="AZ327" s="149"/>
      <c r="BC327" s="139"/>
    </row>
    <row r="328" spans="2:55" s="151" customFormat="1" ht="10" x14ac:dyDescent="0.15">
      <c r="B328" s="139"/>
      <c r="C328" s="139"/>
      <c r="D328" s="139"/>
      <c r="E328" s="150"/>
      <c r="F328" s="139"/>
      <c r="G328" s="145"/>
      <c r="H328" s="139"/>
      <c r="I328" s="146"/>
      <c r="J328" s="175"/>
      <c r="K328" s="146"/>
      <c r="L328" s="148"/>
      <c r="M328" s="146"/>
      <c r="N328" s="148"/>
      <c r="O328" s="146"/>
      <c r="P328" s="146"/>
      <c r="Q328" s="146"/>
      <c r="R328" s="150"/>
      <c r="S328" s="150"/>
      <c r="T328" s="139"/>
      <c r="U328" s="139"/>
      <c r="V328" s="139"/>
      <c r="W328" s="139"/>
      <c r="X328" s="150"/>
      <c r="Z328" s="149"/>
      <c r="AA328" s="149"/>
      <c r="AB328" s="149"/>
      <c r="AC328" s="149"/>
      <c r="AD328" s="149"/>
      <c r="AE328" s="149"/>
      <c r="AF328" s="149"/>
      <c r="AG328" s="149"/>
      <c r="AH328" s="149"/>
      <c r="AI328" s="149"/>
      <c r="AJ328" s="149"/>
      <c r="AK328" s="149"/>
      <c r="AL328" s="149"/>
      <c r="AT328" s="149"/>
      <c r="AZ328" s="149"/>
      <c r="BC328" s="139"/>
    </row>
    <row r="329" spans="2:55" s="151" customFormat="1" ht="10" x14ac:dyDescent="0.15">
      <c r="B329" s="139"/>
      <c r="C329" s="139"/>
      <c r="D329" s="139"/>
      <c r="E329" s="150"/>
      <c r="F329" s="139"/>
      <c r="G329" s="145"/>
      <c r="H329" s="139"/>
      <c r="I329" s="146"/>
      <c r="J329" s="175"/>
      <c r="K329" s="146"/>
      <c r="L329" s="148"/>
      <c r="M329" s="146"/>
      <c r="N329" s="148"/>
      <c r="O329" s="146"/>
      <c r="P329" s="146"/>
      <c r="Q329" s="146"/>
      <c r="R329" s="150"/>
      <c r="S329" s="150"/>
      <c r="T329" s="139"/>
      <c r="U329" s="139"/>
      <c r="V329" s="139"/>
      <c r="W329" s="139"/>
      <c r="X329" s="150"/>
      <c r="Z329" s="149"/>
      <c r="AA329" s="149"/>
      <c r="AB329" s="149"/>
      <c r="AC329" s="149"/>
      <c r="AD329" s="149"/>
      <c r="AE329" s="149"/>
      <c r="AF329" s="149"/>
      <c r="AG329" s="149"/>
      <c r="AH329" s="149"/>
      <c r="AI329" s="149"/>
      <c r="AJ329" s="149"/>
      <c r="AK329" s="149"/>
      <c r="AL329" s="149"/>
      <c r="AT329" s="149"/>
      <c r="AZ329" s="149"/>
      <c r="BC329" s="139"/>
    </row>
    <row r="330" spans="2:55" s="151" customFormat="1" ht="10" x14ac:dyDescent="0.15">
      <c r="B330" s="139"/>
      <c r="C330" s="139"/>
      <c r="D330" s="139"/>
      <c r="E330" s="150"/>
      <c r="F330" s="139"/>
      <c r="G330" s="145"/>
      <c r="H330" s="139"/>
      <c r="I330" s="146"/>
      <c r="J330" s="175"/>
      <c r="K330" s="146"/>
      <c r="L330" s="148"/>
      <c r="M330" s="146"/>
      <c r="N330" s="148"/>
      <c r="O330" s="146"/>
      <c r="P330" s="146"/>
      <c r="Q330" s="146"/>
      <c r="R330" s="150"/>
      <c r="S330" s="150"/>
      <c r="T330" s="139"/>
      <c r="U330" s="139"/>
      <c r="V330" s="139"/>
      <c r="W330" s="139"/>
      <c r="X330" s="150"/>
      <c r="Z330" s="149"/>
      <c r="AA330" s="149"/>
      <c r="AB330" s="149"/>
      <c r="AC330" s="149"/>
      <c r="AD330" s="149"/>
      <c r="AE330" s="149"/>
      <c r="AF330" s="149"/>
      <c r="AG330" s="149"/>
      <c r="AH330" s="149"/>
      <c r="AI330" s="149"/>
      <c r="AJ330" s="149"/>
      <c r="AK330" s="149"/>
      <c r="AL330" s="149"/>
      <c r="AT330" s="149"/>
      <c r="AZ330" s="149"/>
      <c r="BC330" s="139"/>
    </row>
    <row r="331" spans="2:55" s="151" customFormat="1" ht="10" x14ac:dyDescent="0.15">
      <c r="B331" s="139"/>
      <c r="C331" s="139"/>
      <c r="D331" s="139"/>
      <c r="E331" s="150"/>
      <c r="F331" s="139"/>
      <c r="G331" s="145"/>
      <c r="H331" s="139"/>
      <c r="I331" s="146"/>
      <c r="J331" s="175"/>
      <c r="K331" s="146"/>
      <c r="L331" s="148"/>
      <c r="M331" s="146"/>
      <c r="N331" s="148"/>
      <c r="O331" s="146"/>
      <c r="P331" s="146"/>
      <c r="Q331" s="146"/>
      <c r="R331" s="150"/>
      <c r="S331" s="150"/>
      <c r="T331" s="139"/>
      <c r="U331" s="139"/>
      <c r="V331" s="139"/>
      <c r="W331" s="139"/>
      <c r="X331" s="150"/>
      <c r="Z331" s="149"/>
      <c r="AA331" s="149"/>
      <c r="AB331" s="149"/>
      <c r="AC331" s="149"/>
      <c r="AD331" s="149"/>
      <c r="AE331" s="149"/>
      <c r="AF331" s="149"/>
      <c r="AG331" s="149"/>
      <c r="AH331" s="149"/>
      <c r="AI331" s="149"/>
      <c r="AJ331" s="149"/>
      <c r="AK331" s="149"/>
      <c r="AL331" s="149"/>
      <c r="AT331" s="149"/>
      <c r="AZ331" s="149"/>
      <c r="BC331" s="139"/>
    </row>
    <row r="332" spans="2:55" s="151" customFormat="1" ht="10" x14ac:dyDescent="0.15">
      <c r="B332" s="139"/>
      <c r="C332" s="139"/>
      <c r="D332" s="139"/>
      <c r="E332" s="150"/>
      <c r="F332" s="139"/>
      <c r="G332" s="145"/>
      <c r="H332" s="139"/>
      <c r="I332" s="146"/>
      <c r="J332" s="175"/>
      <c r="K332" s="146"/>
      <c r="L332" s="148"/>
      <c r="M332" s="146"/>
      <c r="N332" s="148"/>
      <c r="O332" s="146"/>
      <c r="P332" s="146"/>
      <c r="Q332" s="146"/>
      <c r="R332" s="150"/>
      <c r="S332" s="150"/>
      <c r="T332" s="139"/>
      <c r="U332" s="139"/>
      <c r="V332" s="139"/>
      <c r="W332" s="139"/>
      <c r="X332" s="150"/>
      <c r="Z332" s="149"/>
      <c r="AA332" s="149"/>
      <c r="AB332" s="149"/>
      <c r="AC332" s="149"/>
      <c r="AD332" s="149"/>
      <c r="AE332" s="149"/>
      <c r="AF332" s="149"/>
      <c r="AG332" s="149"/>
      <c r="AH332" s="149"/>
      <c r="AI332" s="149"/>
      <c r="AJ332" s="149"/>
      <c r="AK332" s="149"/>
      <c r="AL332" s="149"/>
      <c r="AT332" s="149"/>
      <c r="AZ332" s="149"/>
      <c r="BC332" s="139"/>
    </row>
    <row r="333" spans="2:55" s="151" customFormat="1" ht="10" x14ac:dyDescent="0.15">
      <c r="B333" s="139"/>
      <c r="C333" s="139"/>
      <c r="D333" s="139"/>
      <c r="E333" s="150"/>
      <c r="F333" s="139"/>
      <c r="G333" s="145"/>
      <c r="H333" s="139"/>
      <c r="I333" s="146"/>
      <c r="J333" s="175"/>
      <c r="K333" s="146"/>
      <c r="L333" s="148"/>
      <c r="M333" s="146"/>
      <c r="N333" s="148"/>
      <c r="O333" s="146"/>
      <c r="P333" s="146"/>
      <c r="Q333" s="146"/>
      <c r="R333" s="150"/>
      <c r="S333" s="150"/>
      <c r="T333" s="139"/>
      <c r="U333" s="139"/>
      <c r="V333" s="139"/>
      <c r="W333" s="139"/>
      <c r="X333" s="150"/>
      <c r="Z333" s="149"/>
      <c r="AA333" s="149"/>
      <c r="AB333" s="149"/>
      <c r="AC333" s="149"/>
      <c r="AD333" s="149"/>
      <c r="AE333" s="149"/>
      <c r="AF333" s="149"/>
      <c r="AG333" s="149"/>
      <c r="AH333" s="149"/>
      <c r="AI333" s="149"/>
      <c r="AJ333" s="149"/>
      <c r="AK333" s="149"/>
      <c r="AL333" s="149"/>
      <c r="AT333" s="149"/>
      <c r="AZ333" s="149"/>
      <c r="BC333" s="139"/>
    </row>
    <row r="334" spans="2:55" s="151" customFormat="1" ht="10" x14ac:dyDescent="0.15">
      <c r="B334" s="139"/>
      <c r="C334" s="139"/>
      <c r="D334" s="139"/>
      <c r="E334" s="150"/>
      <c r="F334" s="139"/>
      <c r="G334" s="145"/>
      <c r="H334" s="139"/>
      <c r="I334" s="146"/>
      <c r="J334" s="175"/>
      <c r="K334" s="146"/>
      <c r="L334" s="148"/>
      <c r="M334" s="146"/>
      <c r="N334" s="148"/>
      <c r="O334" s="146"/>
      <c r="P334" s="146"/>
      <c r="Q334" s="146"/>
      <c r="R334" s="150"/>
      <c r="S334" s="150"/>
      <c r="T334" s="139"/>
      <c r="U334" s="139"/>
      <c r="V334" s="139"/>
      <c r="W334" s="139"/>
      <c r="X334" s="150"/>
      <c r="Z334" s="149"/>
      <c r="AA334" s="149"/>
      <c r="AB334" s="149"/>
      <c r="AC334" s="149"/>
      <c r="AD334" s="149"/>
      <c r="AE334" s="149"/>
      <c r="AF334" s="149"/>
      <c r="AG334" s="149"/>
      <c r="AH334" s="149"/>
      <c r="AI334" s="149"/>
      <c r="AJ334" s="149"/>
      <c r="AK334" s="149"/>
      <c r="AL334" s="149"/>
      <c r="AT334" s="149"/>
      <c r="AZ334" s="149"/>
      <c r="BC334" s="139"/>
    </row>
    <row r="335" spans="2:55" s="151" customFormat="1" ht="10" x14ac:dyDescent="0.15">
      <c r="B335" s="139"/>
      <c r="C335" s="139"/>
      <c r="D335" s="139"/>
      <c r="E335" s="150"/>
      <c r="F335" s="139"/>
      <c r="G335" s="145"/>
      <c r="H335" s="139"/>
      <c r="I335" s="146"/>
      <c r="J335" s="175"/>
      <c r="K335" s="146"/>
      <c r="L335" s="148"/>
      <c r="M335" s="146"/>
      <c r="N335" s="148"/>
      <c r="O335" s="146"/>
      <c r="P335" s="146"/>
      <c r="Q335" s="146"/>
      <c r="R335" s="150"/>
      <c r="S335" s="150"/>
      <c r="T335" s="139"/>
      <c r="U335" s="139"/>
      <c r="V335" s="139"/>
      <c r="W335" s="139"/>
      <c r="X335" s="150"/>
      <c r="Z335" s="149"/>
      <c r="AA335" s="149"/>
      <c r="AB335" s="149"/>
      <c r="AC335" s="149"/>
      <c r="AD335" s="149"/>
      <c r="AE335" s="149"/>
      <c r="AF335" s="149"/>
      <c r="AG335" s="149"/>
      <c r="AH335" s="149"/>
      <c r="AI335" s="149"/>
      <c r="AJ335" s="149"/>
      <c r="AK335" s="149"/>
      <c r="AL335" s="149"/>
      <c r="AT335" s="149"/>
      <c r="AZ335" s="149"/>
      <c r="BC335" s="139"/>
    </row>
    <row r="336" spans="2:55" s="151" customFormat="1" ht="10" x14ac:dyDescent="0.15">
      <c r="B336" s="139"/>
      <c r="C336" s="139"/>
      <c r="D336" s="139"/>
      <c r="E336" s="150"/>
      <c r="F336" s="139"/>
      <c r="G336" s="145"/>
      <c r="H336" s="139"/>
      <c r="I336" s="146"/>
      <c r="J336" s="175"/>
      <c r="K336" s="146"/>
      <c r="L336" s="148"/>
      <c r="M336" s="146"/>
      <c r="N336" s="148"/>
      <c r="O336" s="146"/>
      <c r="P336" s="146"/>
      <c r="Q336" s="146"/>
      <c r="R336" s="150"/>
      <c r="S336" s="150"/>
      <c r="T336" s="139"/>
      <c r="U336" s="139"/>
      <c r="V336" s="139"/>
      <c r="W336" s="139"/>
      <c r="X336" s="150"/>
      <c r="Z336" s="149"/>
      <c r="AA336" s="149"/>
      <c r="AB336" s="149"/>
      <c r="AC336" s="149"/>
      <c r="AD336" s="149"/>
      <c r="AE336" s="149"/>
      <c r="AF336" s="149"/>
      <c r="AG336" s="149"/>
      <c r="AH336" s="149"/>
      <c r="AI336" s="149"/>
      <c r="AJ336" s="149"/>
      <c r="AK336" s="149"/>
      <c r="AL336" s="149"/>
      <c r="AT336" s="149"/>
      <c r="AZ336" s="149"/>
      <c r="BC336" s="139"/>
    </row>
    <row r="337" spans="2:55" s="151" customFormat="1" x14ac:dyDescent="0.15">
      <c r="B337" s="139"/>
      <c r="C337" s="139"/>
      <c r="D337" s="139"/>
      <c r="E337" s="150"/>
      <c r="F337" s="139"/>
      <c r="G337" s="145"/>
      <c r="H337" s="139"/>
      <c r="I337" s="146"/>
      <c r="J337" s="175"/>
      <c r="K337" s="146"/>
      <c r="L337" s="148"/>
      <c r="M337" s="146"/>
      <c r="N337" s="148"/>
      <c r="O337" s="146"/>
      <c r="P337" s="146"/>
      <c r="Q337" s="146"/>
      <c r="R337" s="150"/>
      <c r="S337" s="150"/>
      <c r="T337" s="139"/>
      <c r="U337" s="139"/>
      <c r="V337" s="139"/>
      <c r="W337" s="139"/>
      <c r="X337" s="150"/>
      <c r="Z337" s="97"/>
      <c r="AA337" s="97"/>
      <c r="AB337" s="97"/>
      <c r="AC337" s="97"/>
      <c r="AD337" s="97"/>
      <c r="AE337" s="97"/>
      <c r="AF337" s="97"/>
      <c r="AG337" s="97"/>
      <c r="AH337" s="97"/>
      <c r="AI337" s="97"/>
      <c r="AJ337" s="97"/>
      <c r="AK337" s="97"/>
      <c r="AL337" s="97"/>
      <c r="AM337"/>
      <c r="AT337" s="97"/>
      <c r="AZ337" s="97"/>
      <c r="BC337" s="139"/>
    </row>
    <row r="338" spans="2:55" s="151" customFormat="1" x14ac:dyDescent="0.15">
      <c r="B338" s="139"/>
      <c r="C338" s="139"/>
      <c r="D338" s="139"/>
      <c r="E338" s="150"/>
      <c r="F338" s="139"/>
      <c r="G338" s="145"/>
      <c r="H338" s="139"/>
      <c r="I338" s="146"/>
      <c r="J338" s="175"/>
      <c r="K338" s="146"/>
      <c r="L338" s="148"/>
      <c r="M338" s="146"/>
      <c r="N338" s="148"/>
      <c r="O338" s="146"/>
      <c r="P338" s="146"/>
      <c r="Q338" s="146"/>
      <c r="R338" s="150"/>
      <c r="S338" s="150"/>
      <c r="T338" s="139"/>
      <c r="U338" s="139"/>
      <c r="V338" s="139"/>
      <c r="W338" s="139"/>
      <c r="X338" s="150"/>
      <c r="Z338" s="97"/>
      <c r="AA338" s="97"/>
      <c r="AB338" s="97"/>
      <c r="AC338" s="97"/>
      <c r="AD338" s="97"/>
      <c r="AE338" s="97"/>
      <c r="AF338" s="97"/>
      <c r="AG338" s="97"/>
      <c r="AH338" s="97"/>
      <c r="AI338" s="97"/>
      <c r="AJ338" s="97"/>
      <c r="AK338" s="97"/>
      <c r="AL338" s="97"/>
      <c r="AM338"/>
      <c r="AN338"/>
      <c r="AO338"/>
      <c r="AP338"/>
      <c r="AQ338"/>
      <c r="AR338"/>
      <c r="AT338" s="97"/>
      <c r="AU338"/>
      <c r="AV338"/>
      <c r="AW338"/>
      <c r="AX338"/>
      <c r="AZ338" s="97"/>
      <c r="BC338" s="139"/>
    </row>
    <row r="339" spans="2:55" s="151" customFormat="1" x14ac:dyDescent="0.15">
      <c r="B339" s="139"/>
      <c r="C339" s="139"/>
      <c r="D339" s="139"/>
      <c r="E339" s="150"/>
      <c r="F339" s="139"/>
      <c r="G339" s="145"/>
      <c r="H339" s="139"/>
      <c r="I339" s="146"/>
      <c r="J339" s="175"/>
      <c r="K339" s="146"/>
      <c r="L339" s="148"/>
      <c r="M339" s="146"/>
      <c r="N339" s="148"/>
      <c r="O339" s="146"/>
      <c r="P339" s="146"/>
      <c r="Q339" s="146"/>
      <c r="R339" s="150"/>
      <c r="S339" s="150"/>
      <c r="T339" s="139"/>
      <c r="U339" s="139"/>
      <c r="V339" s="139"/>
      <c r="W339" s="139"/>
      <c r="X339" s="150"/>
      <c r="Z339" s="97"/>
      <c r="AA339" s="97"/>
      <c r="AB339" s="97"/>
      <c r="AC339" s="97"/>
      <c r="AD339" s="97"/>
      <c r="AE339" s="97"/>
      <c r="AF339" s="97"/>
      <c r="AG339" s="97"/>
      <c r="AH339" s="97"/>
      <c r="AI339" s="97"/>
      <c r="AJ339" s="97"/>
      <c r="AK339" s="97"/>
      <c r="AL339" s="97"/>
      <c r="AM339"/>
      <c r="AN339"/>
      <c r="AO339"/>
      <c r="AP339"/>
      <c r="AQ339"/>
      <c r="AR339"/>
      <c r="AT339" s="97"/>
      <c r="AU339"/>
      <c r="AV339"/>
      <c r="AW339"/>
      <c r="AX339"/>
      <c r="AZ339" s="97"/>
      <c r="BC339" s="139"/>
    </row>
    <row r="340" spans="2:55" s="151" customFormat="1" x14ac:dyDescent="0.15">
      <c r="B340" s="139"/>
      <c r="C340" s="139"/>
      <c r="D340" s="139"/>
      <c r="E340" s="150"/>
      <c r="F340" s="139"/>
      <c r="G340" s="145"/>
      <c r="H340" s="139"/>
      <c r="I340" s="146"/>
      <c r="J340" s="175"/>
      <c r="K340" s="146"/>
      <c r="L340" s="148"/>
      <c r="M340" s="146"/>
      <c r="N340" s="148"/>
      <c r="O340" s="146"/>
      <c r="P340" s="146"/>
      <c r="Q340" s="146"/>
      <c r="R340" s="150"/>
      <c r="S340" s="150"/>
      <c r="T340" s="139"/>
      <c r="U340" s="139"/>
      <c r="V340" s="139"/>
      <c r="W340" s="139"/>
      <c r="X340" s="150"/>
      <c r="Z340" s="97"/>
      <c r="AA340" s="97"/>
      <c r="AB340" s="97"/>
      <c r="AC340" s="97"/>
      <c r="AD340" s="97"/>
      <c r="AE340" s="97"/>
      <c r="AF340" s="97"/>
      <c r="AG340" s="97"/>
      <c r="AH340" s="97"/>
      <c r="AI340" s="97"/>
      <c r="AJ340" s="97"/>
      <c r="AK340" s="97"/>
      <c r="AL340" s="97"/>
      <c r="AM340"/>
      <c r="AN340"/>
      <c r="AO340"/>
      <c r="AP340"/>
      <c r="AQ340"/>
      <c r="AR340"/>
      <c r="AT340" s="97"/>
      <c r="AU340"/>
      <c r="AV340"/>
      <c r="AW340"/>
      <c r="AX340"/>
      <c r="AZ340" s="97"/>
      <c r="BC340" s="139"/>
    </row>
    <row r="341" spans="2:55" s="151" customFormat="1" x14ac:dyDescent="0.15">
      <c r="B341" s="139"/>
      <c r="C341" s="139"/>
      <c r="D341" s="139"/>
      <c r="E341" s="150"/>
      <c r="F341" s="139"/>
      <c r="G341" s="145"/>
      <c r="H341" s="139"/>
      <c r="I341" s="146"/>
      <c r="J341" s="175"/>
      <c r="K341" s="146"/>
      <c r="L341" s="148"/>
      <c r="M341" s="146"/>
      <c r="N341" s="148"/>
      <c r="O341" s="146"/>
      <c r="P341" s="146"/>
      <c r="Q341" s="146"/>
      <c r="R341" s="150"/>
      <c r="S341" s="150"/>
      <c r="T341" s="139"/>
      <c r="U341" s="139"/>
      <c r="V341" s="139"/>
      <c r="W341" s="139"/>
      <c r="X341" s="150"/>
      <c r="Z341" s="97"/>
      <c r="AA341" s="97"/>
      <c r="AB341" s="97"/>
      <c r="AC341" s="97"/>
      <c r="AD341" s="97"/>
      <c r="AE341" s="97"/>
      <c r="AF341" s="97"/>
      <c r="AG341" s="97"/>
      <c r="AH341" s="97"/>
      <c r="AI341" s="97"/>
      <c r="AJ341" s="97"/>
      <c r="AK341" s="97"/>
      <c r="AL341" s="97"/>
      <c r="AM341"/>
      <c r="AN341"/>
      <c r="AO341"/>
      <c r="AP341"/>
      <c r="AQ341"/>
      <c r="AR341"/>
      <c r="AT341" s="97"/>
      <c r="AU341"/>
      <c r="AV341"/>
      <c r="AW341"/>
      <c r="AX341"/>
      <c r="AZ341" s="97"/>
      <c r="BC341" s="139"/>
    </row>
  </sheetData>
  <mergeCells count="5">
    <mergeCell ref="I2:P2"/>
    <mergeCell ref="AU2:AY2"/>
    <mergeCell ref="Y2:AG2"/>
    <mergeCell ref="AI2:AS2"/>
    <mergeCell ref="R2:W2"/>
  </mergeCells>
  <phoneticPr fontId="0" type="noConversion"/>
  <pageMargins left="0.75" right="0.75" top="1" bottom="1" header="0.5" footer="0.5"/>
  <pageSetup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V99"/>
  <sheetViews>
    <sheetView zoomScale="72" zoomScaleNormal="72" workbookViewId="0"/>
  </sheetViews>
  <sheetFormatPr baseColWidth="10" defaultColWidth="6.83203125" defaultRowHeight="13" x14ac:dyDescent="0.15"/>
  <cols>
    <col min="1" max="1" width="6.83203125" style="705" customWidth="1"/>
    <col min="2" max="16384" width="6.83203125" style="705"/>
  </cols>
  <sheetData>
    <row r="1" spans="1:74" ht="21" customHeight="1" x14ac:dyDescent="0.15">
      <c r="D1" s="708">
        <v>1</v>
      </c>
      <c r="E1" s="708"/>
      <c r="F1" s="708"/>
      <c r="I1" s="708">
        <v>2</v>
      </c>
      <c r="N1" s="708">
        <v>3</v>
      </c>
      <c r="S1" s="708">
        <v>4</v>
      </c>
      <c r="X1" s="708">
        <v>5</v>
      </c>
      <c r="AC1" s="708">
        <v>6</v>
      </c>
      <c r="AH1" s="708">
        <v>7</v>
      </c>
      <c r="AM1" s="708">
        <v>8</v>
      </c>
      <c r="AR1" s="708">
        <v>9</v>
      </c>
      <c r="AW1" s="708">
        <v>10</v>
      </c>
      <c r="BB1" s="708">
        <v>11</v>
      </c>
      <c r="BG1" s="708">
        <v>12</v>
      </c>
      <c r="BL1" s="708">
        <v>13</v>
      </c>
      <c r="BQ1" s="708">
        <v>14</v>
      </c>
      <c r="BV1" s="708">
        <v>15</v>
      </c>
    </row>
    <row r="2" spans="1:74" x14ac:dyDescent="0.15">
      <c r="A2" s="796" t="s">
        <v>712</v>
      </c>
    </row>
    <row r="3" spans="1:74" x14ac:dyDescent="0.15">
      <c r="A3" s="796"/>
    </row>
    <row r="4" spans="1:74" x14ac:dyDescent="0.15">
      <c r="A4" s="796"/>
    </row>
    <row r="5" spans="1:74" x14ac:dyDescent="0.15">
      <c r="A5" s="796"/>
    </row>
    <row r="6" spans="1:74" x14ac:dyDescent="0.15">
      <c r="A6" s="796"/>
    </row>
    <row r="7" spans="1:74" x14ac:dyDescent="0.15">
      <c r="A7" s="796"/>
    </row>
    <row r="8" spans="1:74" x14ac:dyDescent="0.15">
      <c r="A8" s="796"/>
    </row>
    <row r="9" spans="1:74" x14ac:dyDescent="0.15">
      <c r="A9" s="796"/>
    </row>
    <row r="10" spans="1:74" x14ac:dyDescent="0.15">
      <c r="A10" s="796"/>
    </row>
    <row r="11" spans="1:74" x14ac:dyDescent="0.15">
      <c r="A11" s="796"/>
    </row>
    <row r="12" spans="1:74" x14ac:dyDescent="0.15">
      <c r="A12" s="796"/>
    </row>
    <row r="13" spans="1:74" x14ac:dyDescent="0.15">
      <c r="A13" s="796"/>
    </row>
    <row r="14" spans="1:74" x14ac:dyDescent="0.15">
      <c r="A14" s="796"/>
    </row>
    <row r="15" spans="1:74" x14ac:dyDescent="0.15">
      <c r="A15" s="796"/>
    </row>
    <row r="16" spans="1:74" x14ac:dyDescent="0.15">
      <c r="A16" s="796"/>
    </row>
    <row r="17" spans="1:1" x14ac:dyDescent="0.15">
      <c r="A17" s="796"/>
    </row>
    <row r="18" spans="1:1" x14ac:dyDescent="0.15">
      <c r="A18" s="796"/>
    </row>
    <row r="19" spans="1:1" x14ac:dyDescent="0.15">
      <c r="A19" s="796"/>
    </row>
    <row r="20" spans="1:1" x14ac:dyDescent="0.15">
      <c r="A20" s="796"/>
    </row>
    <row r="21" spans="1:1" x14ac:dyDescent="0.15">
      <c r="A21" s="796"/>
    </row>
    <row r="22" spans="1:1" x14ac:dyDescent="0.15">
      <c r="A22" s="796"/>
    </row>
    <row r="23" spans="1:1" x14ac:dyDescent="0.15">
      <c r="A23" s="796"/>
    </row>
    <row r="24" spans="1:1" x14ac:dyDescent="0.15">
      <c r="A24" s="796"/>
    </row>
    <row r="25" spans="1:1" x14ac:dyDescent="0.15">
      <c r="A25" s="796"/>
    </row>
    <row r="26" spans="1:1" x14ac:dyDescent="0.15">
      <c r="A26" s="796" t="s">
        <v>713</v>
      </c>
    </row>
    <row r="27" spans="1:1" x14ac:dyDescent="0.15">
      <c r="A27" s="796"/>
    </row>
    <row r="28" spans="1:1" x14ac:dyDescent="0.15">
      <c r="A28" s="796"/>
    </row>
    <row r="29" spans="1:1" x14ac:dyDescent="0.15">
      <c r="A29" s="796"/>
    </row>
    <row r="30" spans="1:1" x14ac:dyDescent="0.15">
      <c r="A30" s="796"/>
    </row>
    <row r="31" spans="1:1" x14ac:dyDescent="0.15">
      <c r="A31" s="796"/>
    </row>
    <row r="32" spans="1:1" x14ac:dyDescent="0.15">
      <c r="A32" s="796"/>
    </row>
    <row r="33" spans="1:1" x14ac:dyDescent="0.15">
      <c r="A33" s="796"/>
    </row>
    <row r="34" spans="1:1" x14ac:dyDescent="0.15">
      <c r="A34" s="796"/>
    </row>
    <row r="35" spans="1:1" x14ac:dyDescent="0.15">
      <c r="A35" s="796"/>
    </row>
    <row r="36" spans="1:1" x14ac:dyDescent="0.15">
      <c r="A36" s="796"/>
    </row>
    <row r="37" spans="1:1" x14ac:dyDescent="0.15">
      <c r="A37" s="796"/>
    </row>
    <row r="38" spans="1:1" x14ac:dyDescent="0.15">
      <c r="A38" s="796"/>
    </row>
    <row r="39" spans="1:1" x14ac:dyDescent="0.15">
      <c r="A39" s="796"/>
    </row>
    <row r="40" spans="1:1" x14ac:dyDescent="0.15">
      <c r="A40" s="796"/>
    </row>
    <row r="41" spans="1:1" x14ac:dyDescent="0.15">
      <c r="A41" s="796"/>
    </row>
    <row r="42" spans="1:1" x14ac:dyDescent="0.15">
      <c r="A42" s="796"/>
    </row>
    <row r="43" spans="1:1" x14ac:dyDescent="0.15">
      <c r="A43" s="796"/>
    </row>
    <row r="44" spans="1:1" x14ac:dyDescent="0.15">
      <c r="A44" s="796"/>
    </row>
    <row r="45" spans="1:1" x14ac:dyDescent="0.15">
      <c r="A45" s="796"/>
    </row>
    <row r="46" spans="1:1" x14ac:dyDescent="0.15">
      <c r="A46" s="796"/>
    </row>
    <row r="47" spans="1:1" x14ac:dyDescent="0.15">
      <c r="A47" s="796"/>
    </row>
    <row r="48" spans="1:1" x14ac:dyDescent="0.15">
      <c r="A48" s="796"/>
    </row>
    <row r="49" spans="1:74" x14ac:dyDescent="0.15">
      <c r="A49" s="796"/>
    </row>
    <row r="51" spans="1:74" ht="21" customHeight="1" x14ac:dyDescent="0.15">
      <c r="D51" s="708">
        <v>16</v>
      </c>
      <c r="E51" s="708"/>
      <c r="F51" s="708"/>
      <c r="I51" s="708">
        <v>17</v>
      </c>
      <c r="N51" s="708">
        <v>18</v>
      </c>
      <c r="S51" s="708">
        <v>19</v>
      </c>
      <c r="X51" s="708">
        <v>20</v>
      </c>
      <c r="AC51" s="708">
        <v>21</v>
      </c>
      <c r="AH51" s="708">
        <v>22</v>
      </c>
      <c r="AM51" s="708">
        <v>23</v>
      </c>
      <c r="AR51" s="708">
        <v>24</v>
      </c>
      <c r="AW51" s="708">
        <v>25</v>
      </c>
      <c r="BB51" s="708">
        <v>26</v>
      </c>
      <c r="BG51" s="708">
        <v>27</v>
      </c>
      <c r="BL51" s="708">
        <v>28</v>
      </c>
      <c r="BQ51" s="708">
        <v>29</v>
      </c>
      <c r="BV51" s="708">
        <v>30</v>
      </c>
    </row>
    <row r="52" spans="1:74" x14ac:dyDescent="0.15">
      <c r="A52" s="796" t="s">
        <v>712</v>
      </c>
    </row>
    <row r="53" spans="1:74" x14ac:dyDescent="0.15">
      <c r="A53" s="796"/>
    </row>
    <row r="54" spans="1:74" x14ac:dyDescent="0.15">
      <c r="A54" s="796"/>
    </row>
    <row r="55" spans="1:74" x14ac:dyDescent="0.15">
      <c r="A55" s="796"/>
    </row>
    <row r="56" spans="1:74" x14ac:dyDescent="0.15">
      <c r="A56" s="796"/>
    </row>
    <row r="57" spans="1:74" x14ac:dyDescent="0.15">
      <c r="A57" s="796"/>
    </row>
    <row r="58" spans="1:74" x14ac:dyDescent="0.15">
      <c r="A58" s="796"/>
    </row>
    <row r="59" spans="1:74" x14ac:dyDescent="0.15">
      <c r="A59" s="796"/>
    </row>
    <row r="60" spans="1:74" x14ac:dyDescent="0.15">
      <c r="A60" s="796"/>
    </row>
    <row r="61" spans="1:74" x14ac:dyDescent="0.15">
      <c r="A61" s="796"/>
    </row>
    <row r="62" spans="1:74" x14ac:dyDescent="0.15">
      <c r="A62" s="796"/>
    </row>
    <row r="63" spans="1:74" x14ac:dyDescent="0.15">
      <c r="A63" s="796"/>
    </row>
    <row r="64" spans="1:74" x14ac:dyDescent="0.15">
      <c r="A64" s="796"/>
    </row>
    <row r="65" spans="1:1" x14ac:dyDescent="0.15">
      <c r="A65" s="796"/>
    </row>
    <row r="66" spans="1:1" x14ac:dyDescent="0.15">
      <c r="A66" s="796"/>
    </row>
    <row r="67" spans="1:1" x14ac:dyDescent="0.15">
      <c r="A67" s="796"/>
    </row>
    <row r="68" spans="1:1" x14ac:dyDescent="0.15">
      <c r="A68" s="796"/>
    </row>
    <row r="69" spans="1:1" x14ac:dyDescent="0.15">
      <c r="A69" s="796"/>
    </row>
    <row r="70" spans="1:1" x14ac:dyDescent="0.15">
      <c r="A70" s="796"/>
    </row>
    <row r="71" spans="1:1" x14ac:dyDescent="0.15">
      <c r="A71" s="796"/>
    </row>
    <row r="72" spans="1:1" x14ac:dyDescent="0.15">
      <c r="A72" s="796"/>
    </row>
    <row r="73" spans="1:1" x14ac:dyDescent="0.15">
      <c r="A73" s="796"/>
    </row>
    <row r="74" spans="1:1" x14ac:dyDescent="0.15">
      <c r="A74" s="796"/>
    </row>
    <row r="75" spans="1:1" x14ac:dyDescent="0.15">
      <c r="A75" s="796"/>
    </row>
    <row r="76" spans="1:1" x14ac:dyDescent="0.15">
      <c r="A76" s="796" t="s">
        <v>713</v>
      </c>
    </row>
    <row r="77" spans="1:1" x14ac:dyDescent="0.15">
      <c r="A77" s="796"/>
    </row>
    <row r="78" spans="1:1" x14ac:dyDescent="0.15">
      <c r="A78" s="796"/>
    </row>
    <row r="79" spans="1:1" x14ac:dyDescent="0.15">
      <c r="A79" s="796"/>
    </row>
    <row r="80" spans="1:1" x14ac:dyDescent="0.15">
      <c r="A80" s="796"/>
    </row>
    <row r="81" spans="1:1" x14ac:dyDescent="0.15">
      <c r="A81" s="796"/>
    </row>
    <row r="82" spans="1:1" x14ac:dyDescent="0.15">
      <c r="A82" s="796"/>
    </row>
    <row r="83" spans="1:1" x14ac:dyDescent="0.15">
      <c r="A83" s="796"/>
    </row>
    <row r="84" spans="1:1" x14ac:dyDescent="0.15">
      <c r="A84" s="796"/>
    </row>
    <row r="85" spans="1:1" x14ac:dyDescent="0.15">
      <c r="A85" s="796"/>
    </row>
    <row r="86" spans="1:1" x14ac:dyDescent="0.15">
      <c r="A86" s="796"/>
    </row>
    <row r="87" spans="1:1" x14ac:dyDescent="0.15">
      <c r="A87" s="796"/>
    </row>
    <row r="88" spans="1:1" x14ac:dyDescent="0.15">
      <c r="A88" s="796"/>
    </row>
    <row r="89" spans="1:1" x14ac:dyDescent="0.15">
      <c r="A89" s="796"/>
    </row>
    <row r="90" spans="1:1" x14ac:dyDescent="0.15">
      <c r="A90" s="796"/>
    </row>
    <row r="91" spans="1:1" x14ac:dyDescent="0.15">
      <c r="A91" s="796"/>
    </row>
    <row r="92" spans="1:1" x14ac:dyDescent="0.15">
      <c r="A92" s="796"/>
    </row>
    <row r="93" spans="1:1" x14ac:dyDescent="0.15">
      <c r="A93" s="796"/>
    </row>
    <row r="94" spans="1:1" x14ac:dyDescent="0.15">
      <c r="A94" s="796"/>
    </row>
    <row r="95" spans="1:1" x14ac:dyDescent="0.15">
      <c r="A95" s="796"/>
    </row>
    <row r="96" spans="1:1" x14ac:dyDescent="0.15">
      <c r="A96" s="796"/>
    </row>
    <row r="97" spans="1:1" x14ac:dyDescent="0.15">
      <c r="A97" s="796"/>
    </row>
    <row r="98" spans="1:1" x14ac:dyDescent="0.15">
      <c r="A98" s="796"/>
    </row>
    <row r="99" spans="1:1" x14ac:dyDescent="0.15">
      <c r="A99" s="796"/>
    </row>
  </sheetData>
  <mergeCells count="4">
    <mergeCell ref="A2:A25"/>
    <mergeCell ref="A26:A49"/>
    <mergeCell ref="A52:A75"/>
    <mergeCell ref="A76:A99"/>
  </mergeCells>
  <pageMargins left="0.75" right="0.75" top="1" bottom="1" header="0.5" footer="0.5"/>
  <pageSetup orientation="portrait" horizontalDpi="4294967292" verticalDpi="4294967292"/>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Raw Data Input</vt:lpstr>
      <vt:lpstr>Data Reduction Engine</vt:lpstr>
      <vt:lpstr>U-Pb Data Table Output</vt:lpstr>
      <vt:lpstr>Variance</vt:lpstr>
    </vt:vector>
  </TitlesOfParts>
  <Company>Boise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 BSU</dc:creator>
  <cp:lastModifiedBy>Mark D Schmitz</cp:lastModifiedBy>
  <dcterms:created xsi:type="dcterms:W3CDTF">2006-09-13T17:53:35Z</dcterms:created>
  <dcterms:modified xsi:type="dcterms:W3CDTF">2021-11-25T04:52:51Z</dcterms:modified>
</cp:coreProperties>
</file>